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15" yWindow="285" windowWidth="22815" windowHeight="12750" activeTab="5"/>
  </bookViews>
  <sheets>
    <sheet name="Ressources" sheetId="10" r:id="rId1"/>
    <sheet name="Planif" sheetId="7" r:id="rId2"/>
    <sheet name="analysecout" sheetId="8" r:id="rId3"/>
    <sheet name="analysecouta completer" sheetId="9" r:id="rId4"/>
    <sheet name="gain" sheetId="2" r:id="rId5"/>
    <sheet name="tir4" sheetId="5" r:id="rId6"/>
    <sheet name="tir4Eng" sheetId="11" r:id="rId7"/>
    <sheet name="tir4 A compl" sheetId="6" r:id="rId8"/>
  </sheets>
  <definedNames>
    <definedName name="CEX">Planif!$G$36</definedName>
    <definedName name="Cext">#REF!</definedName>
    <definedName name="CIN">Planif!$G$35</definedName>
    <definedName name="Cint">#REF!</definedName>
  </definedNames>
  <calcPr calcId="125725" refMode="R1C1"/>
</workbook>
</file>

<file path=xl/calcChain.xml><?xml version="1.0" encoding="utf-8"?>
<calcChain xmlns="http://schemas.openxmlformats.org/spreadsheetml/2006/main">
  <c r="I23" i="8"/>
  <c r="C10" i="5"/>
  <c r="I35" i="8"/>
  <c r="C11" i="5"/>
  <c r="J23" i="8"/>
  <c r="D10" i="5"/>
  <c r="J35" i="8"/>
  <c r="D11" i="5"/>
  <c r="P16"/>
  <c r="P19"/>
  <c r="P5"/>
  <c r="C10" i="11"/>
  <c r="D10"/>
  <c r="C11"/>
  <c r="D11"/>
  <c r="K17"/>
  <c r="K18" s="1"/>
  <c r="C6" i="8"/>
  <c r="C5"/>
  <c r="C10"/>
  <c r="D10"/>
  <c r="C9"/>
  <c r="C8"/>
  <c r="AH51" i="7"/>
  <c r="AG42"/>
  <c r="AF5"/>
  <c r="F6"/>
  <c r="F7"/>
  <c r="AD7" s="1"/>
  <c r="F8"/>
  <c r="AF8"/>
  <c r="F11"/>
  <c r="AF11"/>
  <c r="F12"/>
  <c r="AF12"/>
  <c r="F13"/>
  <c r="AC13" s="1"/>
  <c r="AF14"/>
  <c r="AF15"/>
  <c r="AF18"/>
  <c r="AF19"/>
  <c r="F20"/>
  <c r="AF20"/>
  <c r="F21"/>
  <c r="AF21" s="1"/>
  <c r="AF33" s="1"/>
  <c r="AF24"/>
  <c r="F25"/>
  <c r="AF25"/>
  <c r="AF26"/>
  <c r="AF27"/>
  <c r="AF30"/>
  <c r="F31"/>
  <c r="AC31" s="1"/>
  <c r="O35"/>
  <c r="Q35" s="1"/>
  <c r="P35"/>
  <c r="K36"/>
  <c r="G36"/>
  <c r="AD15" s="1"/>
  <c r="K35"/>
  <c r="G35" s="1"/>
  <c r="K39"/>
  <c r="L39"/>
  <c r="K17" i="5"/>
  <c r="K18"/>
  <c r="C29" i="8"/>
  <c r="K35"/>
  <c r="E11" i="5" s="1"/>
  <c r="L35" i="8"/>
  <c r="F11" i="11" s="1"/>
  <c r="F11" i="5"/>
  <c r="K23" i="8"/>
  <c r="E10" i="5"/>
  <c r="L23" i="8"/>
  <c r="F10" i="11"/>
  <c r="J10" i="8"/>
  <c r="J15"/>
  <c r="J16" s="1"/>
  <c r="K10"/>
  <c r="K15"/>
  <c r="K16"/>
  <c r="E9" i="5" s="1"/>
  <c r="L10" i="8"/>
  <c r="L15"/>
  <c r="L16" s="1"/>
  <c r="I10"/>
  <c r="I15"/>
  <c r="I16"/>
  <c r="M35"/>
  <c r="M23"/>
  <c r="M15"/>
  <c r="M16"/>
  <c r="M10"/>
  <c r="H15"/>
  <c r="H16" s="1"/>
  <c r="H10"/>
  <c r="B6" i="11" s="1"/>
  <c r="D6" i="8"/>
  <c r="B5" i="2"/>
  <c r="B18"/>
  <c r="B19" s="1"/>
  <c r="B21" s="1"/>
  <c r="B24" s="1"/>
  <c r="C2"/>
  <c r="C8"/>
  <c r="C9" s="1"/>
  <c r="C11" s="1"/>
  <c r="C7"/>
  <c r="C13"/>
  <c r="C14" s="1"/>
  <c r="C15" s="1"/>
  <c r="C17" s="1"/>
  <c r="C16"/>
  <c r="D7"/>
  <c r="D13"/>
  <c r="D16"/>
  <c r="E7"/>
  <c r="E13"/>
  <c r="E16"/>
  <c r="F13"/>
  <c r="F7"/>
  <c r="B28" i="6"/>
  <c r="C28"/>
  <c r="D28" s="1"/>
  <c r="E28" s="1"/>
  <c r="F28" s="1"/>
  <c r="F16" i="2"/>
  <c r="AD19" i="7"/>
  <c r="AD27"/>
  <c r="AD18"/>
  <c r="AD5"/>
  <c r="AD14"/>
  <c r="AD26"/>
  <c r="AD25"/>
  <c r="AD12"/>
  <c r="AD24"/>
  <c r="C9" i="5"/>
  <c r="C12" s="1"/>
  <c r="C9" i="11"/>
  <c r="C12" s="1"/>
  <c r="AF6" i="7"/>
  <c r="AD8"/>
  <c r="B7" i="11"/>
  <c r="P18" i="5"/>
  <c r="AD31" i="7"/>
  <c r="AD21"/>
  <c r="AD11"/>
  <c r="AF31"/>
  <c r="AF13"/>
  <c r="AF7"/>
  <c r="AD13"/>
  <c r="C3" i="2"/>
  <c r="C5"/>
  <c r="F10" i="5"/>
  <c r="E10" i="11"/>
  <c r="D2" i="2"/>
  <c r="D14" s="1"/>
  <c r="D15" s="1"/>
  <c r="D17" s="1"/>
  <c r="B7" i="5"/>
  <c r="E11" i="11"/>
  <c r="B6" i="5"/>
  <c r="B12" s="1"/>
  <c r="AD6" i="7"/>
  <c r="P20" i="5"/>
  <c r="C18" i="2"/>
  <c r="C19" s="1"/>
  <c r="C21" s="1"/>
  <c r="D8"/>
  <c r="D9" s="1"/>
  <c r="D11" s="1"/>
  <c r="E2"/>
  <c r="E8" s="1"/>
  <c r="E9" s="1"/>
  <c r="E11" s="1"/>
  <c r="E3"/>
  <c r="E5" s="1"/>
  <c r="E14"/>
  <c r="E15" s="1"/>
  <c r="E17" s="1"/>
  <c r="B12" i="11" l="1"/>
  <c r="D17" s="1"/>
  <c r="E24" i="2"/>
  <c r="AE8" i="7"/>
  <c r="AE13"/>
  <c r="D9" i="5"/>
  <c r="D12" s="1"/>
  <c r="P22" s="1"/>
  <c r="P23" s="1"/>
  <c r="P24" s="1"/>
  <c r="P25" s="1"/>
  <c r="D9" i="11"/>
  <c r="D12" s="1"/>
  <c r="D17" i="5"/>
  <c r="C17"/>
  <c r="E17"/>
  <c r="B14"/>
  <c r="C3"/>
  <c r="C14" s="1"/>
  <c r="C3" i="11"/>
  <c r="C14" s="1"/>
  <c r="AC14" i="7"/>
  <c r="AE14" s="1"/>
  <c r="AC25"/>
  <c r="AE25" s="1"/>
  <c r="AC12"/>
  <c r="AE12" s="1"/>
  <c r="AC27"/>
  <c r="AC15"/>
  <c r="AE15" s="1"/>
  <c r="AC19"/>
  <c r="AE19" s="1"/>
  <c r="AC5"/>
  <c r="AC6"/>
  <c r="AE6" s="1"/>
  <c r="AC20"/>
  <c r="AC18"/>
  <c r="AE18" s="1"/>
  <c r="AC30"/>
  <c r="AC36" s="1"/>
  <c r="AC11"/>
  <c r="AE11" s="1"/>
  <c r="AC24"/>
  <c r="AE24" s="1"/>
  <c r="AC26"/>
  <c r="AC7"/>
  <c r="AE7" s="1"/>
  <c r="AC8"/>
  <c r="AC21"/>
  <c r="AE21" s="1"/>
  <c r="C4" i="8"/>
  <c r="C13" s="1"/>
  <c r="C15"/>
  <c r="C24" i="2"/>
  <c r="AE31" i="7"/>
  <c r="E12" i="5"/>
  <c r="AE27" i="7"/>
  <c r="F9" i="5"/>
  <c r="F12" s="1"/>
  <c r="F9" i="11"/>
  <c r="F12" s="1"/>
  <c r="E9"/>
  <c r="E12" s="1"/>
  <c r="E18" i="2"/>
  <c r="E19" s="1"/>
  <c r="E21" s="1"/>
  <c r="D3"/>
  <c r="D5" s="1"/>
  <c r="AD20" i="7"/>
  <c r="AE20" s="1"/>
  <c r="AD30"/>
  <c r="F2" i="2"/>
  <c r="D18"/>
  <c r="D19" s="1"/>
  <c r="D21" s="1"/>
  <c r="C17" i="11" l="1"/>
  <c r="C19" s="1"/>
  <c r="C21" s="1"/>
  <c r="B14"/>
  <c r="B24" s="1"/>
  <c r="E17"/>
  <c r="AG31" i="7"/>
  <c r="AK22"/>
  <c r="AE30"/>
  <c r="AD36"/>
  <c r="F8" i="2"/>
  <c r="F9" s="1"/>
  <c r="F11" s="1"/>
  <c r="F3"/>
  <c r="F5" s="1"/>
  <c r="F24" s="1"/>
  <c r="F14"/>
  <c r="F15" s="1"/>
  <c r="F17" s="1"/>
  <c r="F18"/>
  <c r="F19" s="1"/>
  <c r="F21" s="1"/>
  <c r="D3" i="11"/>
  <c r="D14" s="1"/>
  <c r="D3" i="5"/>
  <c r="D14" s="1"/>
  <c r="B24"/>
  <c r="AC35" i="7"/>
  <c r="AC37" s="1"/>
  <c r="AE5"/>
  <c r="AG25" s="1"/>
  <c r="AG33" s="1"/>
  <c r="AC33"/>
  <c r="C19" i="5"/>
  <c r="C21" s="1"/>
  <c r="AD33" i="7"/>
  <c r="C21" i="8"/>
  <c r="C20"/>
  <c r="C22"/>
  <c r="F3" i="5"/>
  <c r="F14" s="1"/>
  <c r="F3" i="11"/>
  <c r="F14" s="1"/>
  <c r="AJ21" i="7"/>
  <c r="AK21"/>
  <c r="AK23" s="1"/>
  <c r="AE26"/>
  <c r="AG26" s="1"/>
  <c r="AH26" s="1"/>
  <c r="AD35"/>
  <c r="D24" i="2"/>
  <c r="AJ22" i="7"/>
  <c r="AL22" s="1"/>
  <c r="AE33" l="1"/>
  <c r="AD37"/>
  <c r="D19" i="5"/>
  <c r="E3" i="11"/>
  <c r="E14" s="1"/>
  <c r="E3" i="5"/>
  <c r="E14" s="1"/>
  <c r="F19"/>
  <c r="F19" i="11"/>
  <c r="C22" i="5"/>
  <c r="C24" s="1"/>
  <c r="C28" s="1"/>
  <c r="D20"/>
  <c r="D19" i="11"/>
  <c r="AL21" i="7"/>
  <c r="AJ23"/>
  <c r="AL23" s="1"/>
  <c r="B28" i="11"/>
  <c r="B28" i="5"/>
  <c r="C22" i="11"/>
  <c r="C24" s="1"/>
  <c r="C28" s="1"/>
  <c r="D20"/>
  <c r="D21" i="5" l="1"/>
  <c r="D22" s="1"/>
  <c r="D24" s="1"/>
  <c r="D28" s="1"/>
  <c r="D21" i="11"/>
  <c r="E20" s="1"/>
  <c r="E19"/>
  <c r="B15"/>
  <c r="E19" i="5"/>
  <c r="B15"/>
  <c r="E21" l="1"/>
  <c r="E22" s="1"/>
  <c r="E24" s="1"/>
  <c r="E28" s="1"/>
  <c r="E20"/>
  <c r="D22" i="11"/>
  <c r="D24" s="1"/>
  <c r="D28" s="1"/>
  <c r="E21"/>
  <c r="F20" i="5" l="1"/>
  <c r="F21" s="1"/>
  <c r="F22" s="1"/>
  <c r="F24" s="1"/>
  <c r="B26" s="1"/>
  <c r="E22" i="11"/>
  <c r="E24" s="1"/>
  <c r="F20"/>
  <c r="F21" s="1"/>
  <c r="F22" s="1"/>
  <c r="F24" s="1"/>
  <c r="F28" i="5" l="1"/>
  <c r="E28" i="11"/>
  <c r="F28" s="1"/>
  <c r="B26"/>
</calcChain>
</file>

<file path=xl/sharedStrings.xml><?xml version="1.0" encoding="utf-8"?>
<sst xmlns="http://schemas.openxmlformats.org/spreadsheetml/2006/main" count="595" uniqueCount="261">
  <si>
    <t>T0</t>
  </si>
  <si>
    <t xml:space="preserve">     Management</t>
  </si>
  <si>
    <t>Total personnel</t>
  </si>
  <si>
    <t>Année 1</t>
  </si>
  <si>
    <t>Année 2</t>
  </si>
  <si>
    <t>Année 3</t>
  </si>
  <si>
    <t>Consulting et services</t>
  </si>
  <si>
    <t>Matériel</t>
  </si>
  <si>
    <t>Logiciel</t>
  </si>
  <si>
    <t>Postes de travail</t>
  </si>
  <si>
    <t>Serveurs</t>
  </si>
  <si>
    <t xml:space="preserve">Maintenance </t>
  </si>
  <si>
    <t>Licences produits serveurs</t>
  </si>
  <si>
    <t>Autres</t>
  </si>
  <si>
    <t>Total consulting et services</t>
  </si>
  <si>
    <t>Croisière</t>
  </si>
  <si>
    <t>Année 4</t>
  </si>
  <si>
    <t>Année 5</t>
  </si>
  <si>
    <t>Etude initiale</t>
  </si>
  <si>
    <t xml:space="preserve">     Equipe projet</t>
  </si>
  <si>
    <t>Personnel interne</t>
  </si>
  <si>
    <t>Formation équipe projet</t>
  </si>
  <si>
    <t>Formation centre de compétences</t>
  </si>
  <si>
    <t xml:space="preserve">     Exploitation</t>
  </si>
  <si>
    <t>Autres licences</t>
  </si>
  <si>
    <t>Réseaux</t>
  </si>
  <si>
    <t>Total Infrastructure</t>
  </si>
  <si>
    <t>Consommables et divers</t>
  </si>
  <si>
    <t>CALCUL DU TIR</t>
  </si>
  <si>
    <t>1 - Total gains</t>
  </si>
  <si>
    <t>2 - Total dépenses</t>
  </si>
  <si>
    <t>3- Cash flow (1-2)</t>
  </si>
  <si>
    <t>4 - Amortissements</t>
  </si>
  <si>
    <t>5 - Assiette brute d'imposition (3-4)</t>
  </si>
  <si>
    <t xml:space="preserve">5 bis - Report  pertes </t>
  </si>
  <si>
    <t xml:space="preserve">10 - Cash flow cumulé pour détermination  pay  back
</t>
  </si>
  <si>
    <t>Logigiciel</t>
  </si>
  <si>
    <t>Investissements infrastructure</t>
  </si>
  <si>
    <t>Total matériel</t>
  </si>
  <si>
    <t>Total logiciel</t>
  </si>
  <si>
    <t>6 - assiette finale  (5 + 5 bis)</t>
  </si>
  <si>
    <t>7 - Impôts (34 % si 6&gt;0)</t>
  </si>
  <si>
    <t>8 - Cash flow avec  effet  impôts (3-7)</t>
  </si>
  <si>
    <t>1 - CA annuel</t>
  </si>
  <si>
    <t>2 - Augmentation annuelle du CA</t>
  </si>
  <si>
    <t>6 - Diminution jours de stocks PF (cumul vis à vis A0)</t>
  </si>
  <si>
    <t>5 - Nb de jours de stocks Produits finis (PF)</t>
  </si>
  <si>
    <t>4 - Gain CA supplémentaire attribuable à SI ([2] * [3])</t>
  </si>
  <si>
    <t>9 - Taux de contribution SI à réduction stock PF</t>
  </si>
  <si>
    <t>11- Nb de jours de stocks Matières premières (MP)</t>
  </si>
  <si>
    <t>12 - Diminution jours de stocks MP (cumul vis à vis A0)</t>
  </si>
  <si>
    <t>10 - Gain possession stock PF attribuable à SI [8]*[9]</t>
  </si>
  <si>
    <t>15 - Taux de contribution SI à réduction stock MP</t>
  </si>
  <si>
    <t>3 - Taux de contribution SI à l'augmentation du CA</t>
  </si>
  <si>
    <t>Tâche</t>
  </si>
  <si>
    <t>A</t>
  </si>
  <si>
    <t>Sélection des utilisateurs référents et constitution équipe projet</t>
  </si>
  <si>
    <t>B</t>
  </si>
  <si>
    <t>Benchmarking et élaboration du recueil des critères de choix PGI</t>
  </si>
  <si>
    <t>C</t>
  </si>
  <si>
    <t>Choix des standards techniques</t>
  </si>
  <si>
    <t>D</t>
  </si>
  <si>
    <t>Sélection PGI</t>
  </si>
  <si>
    <t>E</t>
  </si>
  <si>
    <t>F</t>
  </si>
  <si>
    <t>Constitution équipe Centre de compétences</t>
  </si>
  <si>
    <t>G</t>
  </si>
  <si>
    <t>Rédaction spécifications maquette</t>
  </si>
  <si>
    <t>H</t>
  </si>
  <si>
    <t>Mise en place maquette</t>
  </si>
  <si>
    <t>I</t>
  </si>
  <si>
    <t>Travail de l'équipe sur la maquette (Etudes paramètres)</t>
  </si>
  <si>
    <t>J</t>
  </si>
  <si>
    <t>K</t>
  </si>
  <si>
    <t>Validation règles de gestion et choix paramètres associés</t>
  </si>
  <si>
    <t>L</t>
  </si>
  <si>
    <t>Ouverture Centre de compétences</t>
  </si>
  <si>
    <t>M</t>
  </si>
  <si>
    <t>Intégration et vérification d'aptitude</t>
  </si>
  <si>
    <t>N</t>
  </si>
  <si>
    <t>Déploiement infrastructure technique</t>
  </si>
  <si>
    <t>O</t>
  </si>
  <si>
    <t>Formation utilisateurs par le Centre de Compétences (CC)</t>
  </si>
  <si>
    <t>P</t>
  </si>
  <si>
    <t>Déploiement systèmes et logiciels</t>
  </si>
  <si>
    <t>Q</t>
  </si>
  <si>
    <t>Lancement</t>
  </si>
  <si>
    <t>R</t>
  </si>
  <si>
    <t>Exploitation pendant 6 mois avec accompagnement utilisateurs par le CC</t>
  </si>
  <si>
    <t>S</t>
  </si>
  <si>
    <t>Vérification de Service Régulier</t>
  </si>
  <si>
    <t>Jalon</t>
  </si>
  <si>
    <t>T</t>
  </si>
  <si>
    <t>Fin du Projet - Passage en régime de croisière</t>
  </si>
  <si>
    <t>Cout interne</t>
  </si>
  <si>
    <t>Nb sem</t>
  </si>
  <si>
    <t>Nb jours</t>
  </si>
  <si>
    <t>Coût externe</t>
  </si>
  <si>
    <t xml:space="preserve">     Utilisateurs finals en formation</t>
  </si>
  <si>
    <t>18 - Gains dus aux meilleures conditions d'achat (2% la 1ere année, 4% les autres)</t>
  </si>
  <si>
    <t>7 - Valorisation gain en stocks PF gagné (à 90 % du prix de vente, soit [1]/365*[6]*0,9)</t>
  </si>
  <si>
    <t>13 -  Valorisation gain en stocks MP gagné (à 40 % du prix de vente, soit [1]/365*[12]*0,4)</t>
  </si>
  <si>
    <t>14 - Gain sur coût de possession du stock MP (15 % de [13])</t>
  </si>
  <si>
    <t>8 - Gain sur coût de possession du stock PF (15 % de [7])</t>
  </si>
  <si>
    <t>16 - Gain possession stock MP attribuable à SI [14]*[15]</t>
  </si>
  <si>
    <t>17 - Volume des achats (40% CA = 0,4*[1])</t>
  </si>
  <si>
    <t>20 - Contribution SI à de meilleurs achats [18] * [19]</t>
  </si>
  <si>
    <t xml:space="preserve">19 - Taux de contribution SI à de meilleurs achats </t>
  </si>
  <si>
    <t xml:space="preserve">TOTAL GAINS [4] + [10] + [16] + [20] + [21] </t>
  </si>
  <si>
    <t>21 - Divers gains sur tâhes administratives</t>
  </si>
  <si>
    <t>Pay back en</t>
  </si>
  <si>
    <t>ans</t>
  </si>
  <si>
    <t>Infrastructure</t>
  </si>
  <si>
    <t>TIR avec  effet  impôts</t>
  </si>
  <si>
    <t>TIR avant  effet  impôts</t>
  </si>
  <si>
    <t>Consulting externe support équipes internes</t>
  </si>
  <si>
    <t>Code</t>
  </si>
  <si>
    <t>Intitulé</t>
  </si>
  <si>
    <t>Phase</t>
  </si>
  <si>
    <t>Analyse des scénarios</t>
  </si>
  <si>
    <t>Solution détaillée</t>
  </si>
  <si>
    <t>Réalisation</t>
  </si>
  <si>
    <t>Déploiement</t>
  </si>
  <si>
    <t>Evaluation</t>
  </si>
  <si>
    <t>Validation fin phase déploiement</t>
  </si>
  <si>
    <t>Validation fin phase réalisation</t>
  </si>
  <si>
    <t>Validation fin phase solution détaillée</t>
  </si>
  <si>
    <t>Validation fin phase analyse scénario</t>
  </si>
  <si>
    <t>Aucun</t>
  </si>
  <si>
    <t xml:space="preserve">A </t>
  </si>
  <si>
    <t>B,C</t>
  </si>
  <si>
    <t>U</t>
  </si>
  <si>
    <t>V</t>
  </si>
  <si>
    <t>W</t>
  </si>
  <si>
    <t>Formation équipe projet au PGI</t>
  </si>
  <si>
    <t>Formation équipe Centre de Compétences au PGI</t>
  </si>
  <si>
    <t>Prédec.</t>
  </si>
  <si>
    <t>N,O</t>
  </si>
  <si>
    <t xml:space="preserve">P </t>
  </si>
  <si>
    <t>R,S</t>
  </si>
  <si>
    <t>X</t>
  </si>
  <si>
    <t>CIN</t>
  </si>
  <si>
    <t>CEX</t>
  </si>
  <si>
    <t>Effectif int</t>
  </si>
  <si>
    <t>Effectif ext</t>
  </si>
  <si>
    <t>MO interne</t>
  </si>
  <si>
    <t>MO externe</t>
  </si>
  <si>
    <t>formation</t>
  </si>
  <si>
    <t>Couts interne MO sur 2009</t>
  </si>
  <si>
    <t>Couts interne MO sur 2010</t>
  </si>
  <si>
    <t xml:space="preserve">     Maintenance / Evolution </t>
  </si>
  <si>
    <t xml:space="preserve">     Support (Prolongation centre de compétence)</t>
  </si>
  <si>
    <t>9 semaines 2009</t>
  </si>
  <si>
    <t>16 semaines 2010</t>
  </si>
  <si>
    <t>MO et services</t>
  </si>
  <si>
    <t>MO &amp; services</t>
  </si>
  <si>
    <t>cout materiel/cout total</t>
  </si>
  <si>
    <t>cout licences logiciel / cout total</t>
  </si>
  <si>
    <t>cout total/utilisateur</t>
  </si>
  <si>
    <t>Pay Back en un peu plus de 3 ans</t>
  </si>
  <si>
    <t>Investissements</t>
  </si>
  <si>
    <t xml:space="preserve">Equipe </t>
  </si>
  <si>
    <t>Equipe projet interne</t>
  </si>
  <si>
    <t>Consulting externe</t>
  </si>
  <si>
    <t>Total</t>
  </si>
  <si>
    <t xml:space="preserve">     Support (Prolongation Centre de Compétence)</t>
  </si>
  <si>
    <t>G,J</t>
  </si>
  <si>
    <t>ID ressource</t>
  </si>
  <si>
    <t>Nom de ressource</t>
  </si>
  <si>
    <t>Catégorie</t>
  </si>
  <si>
    <t>Disponibilité (h/sem)</t>
  </si>
  <si>
    <t>Coût horaire (€)</t>
  </si>
  <si>
    <t>Interne</t>
  </si>
  <si>
    <t>Externe</t>
  </si>
  <si>
    <t>MOE Chef de Projet</t>
  </si>
  <si>
    <t>MOA Chef de Projet</t>
  </si>
  <si>
    <t>MOA Responsable Intégration</t>
  </si>
  <si>
    <t>MOA-CP</t>
  </si>
  <si>
    <t>MOA-RI</t>
  </si>
  <si>
    <t>MOA-SI</t>
  </si>
  <si>
    <t>MOA-RD</t>
  </si>
  <si>
    <t>MOA-RCC</t>
  </si>
  <si>
    <t>MOA-RH</t>
  </si>
  <si>
    <t>MOA-FI</t>
  </si>
  <si>
    <t>MOA-LO</t>
  </si>
  <si>
    <t>MOA-AC</t>
  </si>
  <si>
    <t>MOA-PR</t>
  </si>
  <si>
    <t>MOA Support intégration</t>
  </si>
  <si>
    <t>MOA Responsable déploiement</t>
  </si>
  <si>
    <t>MOA Responsable Infrastructure</t>
  </si>
  <si>
    <t>MOA CC Processus RH</t>
  </si>
  <si>
    <t>MOA CC Processus Finances</t>
  </si>
  <si>
    <t>MOA CC Processus Logistique</t>
  </si>
  <si>
    <t>MOA CC Processus Achats</t>
  </si>
  <si>
    <t>MOA CC Processus Production</t>
  </si>
  <si>
    <t>MOE Expert Assurance Qualité</t>
  </si>
  <si>
    <t>MOE Expert progiciel</t>
  </si>
  <si>
    <t>MOE Consultant système</t>
  </si>
  <si>
    <t>MOE Consultant Intégration 1</t>
  </si>
  <si>
    <t>MOE Consultant Intégration 2</t>
  </si>
  <si>
    <t>MOE Consultant Intégration 3</t>
  </si>
  <si>
    <t>MOE Consultant Déploiement 1</t>
  </si>
  <si>
    <t>MOE Consultant Déploiement 2</t>
  </si>
  <si>
    <t>MOE-CP</t>
  </si>
  <si>
    <t>MOE-AQ</t>
  </si>
  <si>
    <t>MOE-XP</t>
  </si>
  <si>
    <t>MOE-CS</t>
  </si>
  <si>
    <t>MOE-IN1</t>
  </si>
  <si>
    <t>MOE-IN2</t>
  </si>
  <si>
    <t>MOE-IN3</t>
  </si>
  <si>
    <t>MOE-D1</t>
  </si>
  <si>
    <t>MOE-D2</t>
  </si>
  <si>
    <t>*</t>
  </si>
  <si>
    <t>MOA-RT</t>
  </si>
  <si>
    <t>1/5</t>
  </si>
  <si>
    <t>1/2</t>
  </si>
  <si>
    <t>MOA Responsable Centre compét.</t>
  </si>
  <si>
    <t>Coût total</t>
  </si>
  <si>
    <t>Cout total cumulé</t>
  </si>
  <si>
    <t>Utilisateurs finals en formation</t>
  </si>
  <si>
    <t>IRR computing</t>
  </si>
  <si>
    <t>Investments infrastructure</t>
  </si>
  <si>
    <t>Hardware</t>
  </si>
  <si>
    <t>Software</t>
  </si>
  <si>
    <t>Manpower and services</t>
  </si>
  <si>
    <t>Consulting an services</t>
  </si>
  <si>
    <t>Internal staff</t>
  </si>
  <si>
    <t>2 - Total expenses</t>
  </si>
  <si>
    <t>IRR before tax</t>
  </si>
  <si>
    <t>4 - Depreciation</t>
  </si>
  <si>
    <t>IRR with tax effect</t>
  </si>
  <si>
    <t>8 - Cash flow with tax effect (3-7)</t>
  </si>
  <si>
    <t>7 - Tax (34 % si 6&gt;0)</t>
  </si>
  <si>
    <t>5 - Gross tax base (3-4)</t>
  </si>
  <si>
    <t xml:space="preserve">5 bis - Deffered losses </t>
  </si>
  <si>
    <t>Year 1</t>
  </si>
  <si>
    <t>Year 2</t>
  </si>
  <si>
    <t>Year 3</t>
  </si>
  <si>
    <t>Year 4</t>
  </si>
  <si>
    <t>6 - Final tax base  (5 + 5 bis)</t>
  </si>
  <si>
    <t>10 - Cumulative cash flow for determining pay back</t>
  </si>
  <si>
    <t>Pay back in just over three years</t>
  </si>
  <si>
    <t>CA</t>
  </si>
  <si>
    <t>Ratio</t>
  </si>
  <si>
    <t>users</t>
  </si>
  <si>
    <t>couts projet</t>
  </si>
  <si>
    <t>consulting 1</t>
  </si>
  <si>
    <t>consulting 2</t>
  </si>
  <si>
    <t>interne 1</t>
  </si>
  <si>
    <t>interne 2</t>
  </si>
  <si>
    <t>Total projet</t>
  </si>
  <si>
    <t>Dépense globale 4 ans</t>
  </si>
  <si>
    <t>Dépense informatique 4 ans</t>
  </si>
  <si>
    <t>investissement matériel</t>
  </si>
  <si>
    <t>investissement logiciel</t>
  </si>
  <si>
    <t>Valeur limite pour projet</t>
  </si>
  <si>
    <t>Dépense annuelle informatique</t>
  </si>
  <si>
    <t>Ratio materiel/cout total</t>
  </si>
  <si>
    <t>Ratio logiciel/cout total</t>
  </si>
  <si>
    <t>Ratio cout total/user</t>
  </si>
  <si>
    <t>Ratio dépense informatique annuelle / CA</t>
  </si>
</sst>
</file>

<file path=xl/styles.xml><?xml version="1.0" encoding="utf-8"?>
<styleSheet xmlns="http://schemas.openxmlformats.org/spreadsheetml/2006/main">
  <numFmts count="1">
    <numFmt numFmtId="168" formatCode="[$€-2]\ #,##0.00;[Red]\-[$€-2]\ #,##0.00"/>
  </numFmts>
  <fonts count="22">
    <font>
      <sz val="10"/>
      <name val="Arial"/>
    </font>
    <font>
      <sz val="10"/>
      <name val="Arial"/>
    </font>
    <font>
      <sz val="8"/>
      <name val="Verdana"/>
      <family val="2"/>
    </font>
    <font>
      <b/>
      <sz val="8"/>
      <name val="Verdana"/>
      <family val="2"/>
    </font>
    <font>
      <sz val="8"/>
      <name val="Arial"/>
    </font>
    <font>
      <b/>
      <sz val="8"/>
      <color indexed="10"/>
      <name val="Verdana"/>
      <family val="2"/>
    </font>
    <font>
      <sz val="8"/>
      <color indexed="10"/>
      <name val="Verdana"/>
      <family val="2"/>
    </font>
    <font>
      <sz val="10"/>
      <color indexed="10"/>
      <name val="Arial"/>
    </font>
    <font>
      <sz val="10"/>
      <name val="Tahoma"/>
      <family val="2"/>
    </font>
    <font>
      <sz val="9"/>
      <name val="Tahoma"/>
      <family val="2"/>
    </font>
    <font>
      <b/>
      <sz val="7"/>
      <name val="Tahoma"/>
      <family val="2"/>
    </font>
    <font>
      <sz val="7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9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1"/>
      <name val="Arial"/>
    </font>
    <font>
      <sz val="11"/>
      <name val="Verdana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Down"/>
    </fill>
    <fill>
      <patternFill patternType="lightUp"/>
    </fill>
    <fill>
      <patternFill patternType="solid">
        <fgColor indexed="26"/>
        <bgColor indexed="64"/>
      </patternFill>
    </fill>
    <fill>
      <patternFill patternType="lightUp">
        <bgColor indexed="26"/>
      </patternFill>
    </fill>
    <fill>
      <patternFill patternType="solid">
        <fgColor indexed="27"/>
        <bgColor indexed="64"/>
      </patternFill>
    </fill>
    <fill>
      <patternFill patternType="lightUp">
        <bgColor indexed="27"/>
      </patternFill>
    </fill>
    <fill>
      <patternFill patternType="solid">
        <fgColor indexed="47"/>
        <bgColor indexed="64"/>
      </patternFill>
    </fill>
    <fill>
      <patternFill patternType="lightUp">
        <bgColor indexed="47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/>
    <xf numFmtId="0" fontId="3" fillId="0" borderId="1" xfId="0" applyFont="1" applyFill="1" applyBorder="1" applyAlignment="1" applyProtection="1">
      <alignment horizontal="right"/>
    </xf>
    <xf numFmtId="0" fontId="3" fillId="0" borderId="0" xfId="0" applyFont="1"/>
    <xf numFmtId="3" fontId="2" fillId="0" borderId="2" xfId="0" applyNumberFormat="1" applyFont="1" applyBorder="1"/>
    <xf numFmtId="0" fontId="3" fillId="0" borderId="0" xfId="0" applyFont="1" applyAlignment="1">
      <alignment horizontal="right"/>
    </xf>
    <xf numFmtId="3" fontId="3" fillId="0" borderId="2" xfId="0" applyNumberFormat="1" applyFont="1" applyBorder="1"/>
    <xf numFmtId="0" fontId="0" fillId="0" borderId="2" xfId="0" applyBorder="1"/>
    <xf numFmtId="3" fontId="2" fillId="0" borderId="0" xfId="0" applyNumberFormat="1" applyFont="1"/>
    <xf numFmtId="3" fontId="0" fillId="0" borderId="0" xfId="0" applyNumberFormat="1"/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0" fontId="2" fillId="0" borderId="2" xfId="0" applyFont="1" applyBorder="1"/>
    <xf numFmtId="0" fontId="3" fillId="0" borderId="2" xfId="0" applyFont="1" applyBorder="1" applyAlignment="1">
      <alignment horizontal="right"/>
    </xf>
    <xf numFmtId="3" fontId="2" fillId="2" borderId="2" xfId="0" applyNumberFormat="1" applyFont="1" applyFill="1" applyBorder="1"/>
    <xf numFmtId="9" fontId="2" fillId="0" borderId="0" xfId="1" applyFont="1"/>
    <xf numFmtId="0" fontId="3" fillId="0" borderId="2" xfId="0" applyFont="1" applyBorder="1" applyAlignment="1">
      <alignment horizontal="right" wrapText="1"/>
    </xf>
    <xf numFmtId="10" fontId="3" fillId="0" borderId="2" xfId="1" applyNumberFormat="1" applyFont="1" applyBorder="1"/>
    <xf numFmtId="3" fontId="3" fillId="0" borderId="0" xfId="0" applyNumberFormat="1" applyFont="1"/>
    <xf numFmtId="3" fontId="5" fillId="0" borderId="2" xfId="0" applyNumberFormat="1" applyFont="1" applyBorder="1"/>
    <xf numFmtId="3" fontId="6" fillId="0" borderId="2" xfId="0" applyNumberFormat="1" applyFont="1" applyBorder="1"/>
    <xf numFmtId="0" fontId="7" fillId="0" borderId="0" xfId="0" applyFont="1"/>
    <xf numFmtId="3" fontId="2" fillId="3" borderId="2" xfId="0" applyNumberFormat="1" applyFont="1" applyFill="1" applyBorder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3" fontId="9" fillId="0" borderId="0" xfId="0" applyNumberFormat="1" applyFont="1" applyAlignment="1">
      <alignment wrapText="1"/>
    </xf>
    <xf numFmtId="0" fontId="10" fillId="0" borderId="2" xfId="0" applyFont="1" applyBorder="1" applyAlignment="1">
      <alignment wrapText="1"/>
    </xf>
    <xf numFmtId="0" fontId="10" fillId="0" borderId="2" xfId="0" applyFont="1" applyFill="1" applyBorder="1" applyAlignment="1">
      <alignment horizontal="center" wrapText="1"/>
    </xf>
    <xf numFmtId="0" fontId="11" fillId="4" borderId="2" xfId="0" applyFont="1" applyFill="1" applyBorder="1" applyAlignment="1">
      <alignment wrapText="1"/>
    </xf>
    <xf numFmtId="3" fontId="11" fillId="4" borderId="2" xfId="0" applyNumberFormat="1" applyFont="1" applyFill="1" applyBorder="1" applyAlignment="1">
      <alignment wrapText="1"/>
    </xf>
    <xf numFmtId="0" fontId="11" fillId="0" borderId="2" xfId="0" applyFont="1" applyBorder="1" applyAlignment="1">
      <alignment wrapText="1"/>
    </xf>
    <xf numFmtId="3" fontId="11" fillId="0" borderId="2" xfId="0" applyNumberFormat="1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/>
    <xf numFmtId="0" fontId="10" fillId="0" borderId="0" xfId="0" applyFont="1"/>
    <xf numFmtId="3" fontId="11" fillId="0" borderId="0" xfId="0" applyNumberFormat="1" applyFont="1"/>
    <xf numFmtId="3" fontId="11" fillId="0" borderId="2" xfId="0" applyNumberFormat="1" applyFont="1" applyBorder="1"/>
    <xf numFmtId="0" fontId="10" fillId="0" borderId="0" xfId="0" applyFont="1" applyAlignment="1">
      <alignment horizontal="right"/>
    </xf>
    <xf numFmtId="0" fontId="11" fillId="0" borderId="2" xfId="0" applyFont="1" applyBorder="1"/>
    <xf numFmtId="0" fontId="10" fillId="0" borderId="2" xfId="0" applyFont="1" applyBorder="1" applyAlignment="1">
      <alignment horizontal="right"/>
    </xf>
    <xf numFmtId="0" fontId="10" fillId="0" borderId="2" xfId="0" applyFont="1" applyBorder="1" applyAlignment="1">
      <alignment horizontal="right" wrapText="1"/>
    </xf>
    <xf numFmtId="0" fontId="10" fillId="0" borderId="3" xfId="0" applyFont="1" applyBorder="1" applyAlignment="1">
      <alignment horizontal="center"/>
    </xf>
    <xf numFmtId="3" fontId="11" fillId="2" borderId="2" xfId="0" applyNumberFormat="1" applyFont="1" applyFill="1" applyBorder="1"/>
    <xf numFmtId="0" fontId="10" fillId="0" borderId="2" xfId="0" applyFont="1" applyBorder="1"/>
    <xf numFmtId="9" fontId="11" fillId="0" borderId="0" xfId="1" applyFont="1"/>
    <xf numFmtId="9" fontId="10" fillId="0" borderId="2" xfId="1" applyNumberFormat="1" applyFont="1" applyBorder="1"/>
    <xf numFmtId="0" fontId="12" fillId="0" borderId="0" xfId="0" applyFont="1"/>
    <xf numFmtId="0" fontId="12" fillId="0" borderId="0" xfId="0" applyFont="1" applyAlignment="1">
      <alignment wrapText="1"/>
    </xf>
    <xf numFmtId="0" fontId="13" fillId="0" borderId="1" xfId="0" applyFont="1" applyFill="1" applyBorder="1" applyAlignment="1" applyProtection="1">
      <alignment horizontal="center"/>
    </xf>
    <xf numFmtId="0" fontId="13" fillId="0" borderId="4" xfId="0" applyFont="1" applyBorder="1"/>
    <xf numFmtId="0" fontId="12" fillId="0" borderId="5" xfId="0" applyFont="1" applyBorder="1" applyAlignment="1">
      <alignment wrapText="1"/>
    </xf>
    <xf numFmtId="3" fontId="12" fillId="0" borderId="0" xfId="0" applyNumberFormat="1" applyFont="1"/>
    <xf numFmtId="0" fontId="12" fillId="0" borderId="6" xfId="0" applyFont="1" applyBorder="1" applyAlignment="1">
      <alignment wrapText="1"/>
    </xf>
    <xf numFmtId="3" fontId="13" fillId="0" borderId="2" xfId="0" applyNumberFormat="1" applyFont="1" applyBorder="1"/>
    <xf numFmtId="3" fontId="12" fillId="3" borderId="7" xfId="0" applyNumberFormat="1" applyFont="1" applyFill="1" applyBorder="1"/>
    <xf numFmtId="3" fontId="12" fillId="3" borderId="2" xfId="0" applyNumberFormat="1" applyFont="1" applyFill="1" applyBorder="1"/>
    <xf numFmtId="0" fontId="12" fillId="0" borderId="8" xfId="0" applyFont="1" applyBorder="1" applyAlignment="1">
      <alignment wrapText="1"/>
    </xf>
    <xf numFmtId="0" fontId="13" fillId="0" borderId="0" xfId="0" applyFont="1"/>
    <xf numFmtId="3" fontId="12" fillId="0" borderId="2" xfId="0" applyNumberFormat="1" applyFont="1" applyBorder="1"/>
    <xf numFmtId="3" fontId="12" fillId="0" borderId="7" xfId="0" applyNumberFormat="1" applyFont="1" applyBorder="1"/>
    <xf numFmtId="0" fontId="13" fillId="0" borderId="0" xfId="0" applyFont="1" applyAlignment="1">
      <alignment horizontal="right" wrapText="1"/>
    </xf>
    <xf numFmtId="0" fontId="12" fillId="0" borderId="9" xfId="0" applyFont="1" applyBorder="1" applyAlignment="1">
      <alignment wrapText="1"/>
    </xf>
    <xf numFmtId="0" fontId="12" fillId="0" borderId="7" xfId="0" applyFont="1" applyBorder="1"/>
    <xf numFmtId="0" fontId="13" fillId="0" borderId="8" xfId="0" applyFont="1" applyBorder="1" applyAlignment="1">
      <alignment horizontal="right" wrapText="1"/>
    </xf>
    <xf numFmtId="3" fontId="13" fillId="0" borderId="7" xfId="0" applyNumberFormat="1" applyFont="1" applyBorder="1"/>
    <xf numFmtId="0" fontId="12" fillId="0" borderId="10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3" fillId="0" borderId="2" xfId="0" applyFont="1" applyBorder="1" applyAlignment="1">
      <alignment horizontal="right" wrapText="1"/>
    </xf>
    <xf numFmtId="0" fontId="12" fillId="0" borderId="2" xfId="0" applyFont="1" applyBorder="1"/>
    <xf numFmtId="0" fontId="12" fillId="0" borderId="0" xfId="0" quotePrefix="1" applyFont="1"/>
    <xf numFmtId="0" fontId="14" fillId="0" borderId="2" xfId="0" applyFont="1" applyBorder="1"/>
    <xf numFmtId="168" fontId="0" fillId="0" borderId="2" xfId="0" applyNumberFormat="1" applyBorder="1"/>
    <xf numFmtId="0" fontId="10" fillId="5" borderId="2" xfId="0" applyFont="1" applyFill="1" applyBorder="1" applyAlignment="1">
      <alignment horizontal="center" wrapText="1"/>
    </xf>
    <xf numFmtId="0" fontId="11" fillId="6" borderId="2" xfId="0" applyFont="1" applyFill="1" applyBorder="1" applyAlignment="1">
      <alignment wrapText="1"/>
    </xf>
    <xf numFmtId="0" fontId="11" fillId="5" borderId="2" xfId="0" applyFont="1" applyFill="1" applyBorder="1" applyAlignment="1">
      <alignment wrapText="1"/>
    </xf>
    <xf numFmtId="0" fontId="14" fillId="7" borderId="2" xfId="0" applyFont="1" applyFill="1" applyBorder="1"/>
    <xf numFmtId="0" fontId="11" fillId="8" borderId="2" xfId="0" applyFont="1" applyFill="1" applyBorder="1" applyAlignment="1">
      <alignment wrapText="1"/>
    </xf>
    <xf numFmtId="0" fontId="11" fillId="7" borderId="2" xfId="0" applyFont="1" applyFill="1" applyBorder="1" applyAlignment="1">
      <alignment wrapText="1"/>
    </xf>
    <xf numFmtId="0" fontId="14" fillId="9" borderId="2" xfId="0" applyFont="1" applyFill="1" applyBorder="1"/>
    <xf numFmtId="0" fontId="11" fillId="10" borderId="2" xfId="0" applyFont="1" applyFill="1" applyBorder="1" applyAlignment="1">
      <alignment wrapText="1"/>
    </xf>
    <xf numFmtId="0" fontId="11" fillId="9" borderId="2" xfId="0" applyFont="1" applyFill="1" applyBorder="1" applyAlignment="1">
      <alignment wrapText="1"/>
    </xf>
    <xf numFmtId="0" fontId="10" fillId="7" borderId="2" xfId="0" applyFont="1" applyFill="1" applyBorder="1" applyAlignment="1">
      <alignment horizontal="center" wrapText="1"/>
    </xf>
    <xf numFmtId="0" fontId="10" fillId="9" borderId="2" xfId="0" applyFont="1" applyFill="1" applyBorder="1" applyAlignment="1">
      <alignment horizontal="center" wrapText="1"/>
    </xf>
    <xf numFmtId="0" fontId="13" fillId="7" borderId="2" xfId="0" applyFont="1" applyFill="1" applyBorder="1" applyAlignment="1">
      <alignment horizontal="center" wrapText="1"/>
    </xf>
    <xf numFmtId="0" fontId="13" fillId="9" borderId="2" xfId="0" applyFont="1" applyFill="1" applyBorder="1" applyAlignment="1">
      <alignment horizontal="center" wrapText="1"/>
    </xf>
    <xf numFmtId="0" fontId="9" fillId="5" borderId="2" xfId="0" applyFont="1" applyFill="1" applyBorder="1" applyAlignment="1">
      <alignment wrapText="1"/>
    </xf>
    <xf numFmtId="0" fontId="9" fillId="7" borderId="2" xfId="0" applyFont="1" applyFill="1" applyBorder="1" applyAlignment="1">
      <alignment wrapText="1"/>
    </xf>
    <xf numFmtId="0" fontId="9" fillId="9" borderId="2" xfId="0" applyFont="1" applyFill="1" applyBorder="1" applyAlignment="1">
      <alignment wrapText="1"/>
    </xf>
    <xf numFmtId="0" fontId="9" fillId="6" borderId="2" xfId="0" applyFont="1" applyFill="1" applyBorder="1" applyAlignment="1">
      <alignment wrapText="1"/>
    </xf>
    <xf numFmtId="0" fontId="9" fillId="8" borderId="2" xfId="0" applyFont="1" applyFill="1" applyBorder="1" applyAlignment="1">
      <alignment wrapText="1"/>
    </xf>
    <xf numFmtId="0" fontId="9" fillId="10" borderId="2" xfId="0" applyFont="1" applyFill="1" applyBorder="1" applyAlignment="1">
      <alignment wrapText="1"/>
    </xf>
    <xf numFmtId="16" fontId="13" fillId="7" borderId="2" xfId="0" quotePrefix="1" applyNumberFormat="1" applyFont="1" applyFill="1" applyBorder="1" applyAlignment="1">
      <alignment horizontal="center" wrapText="1"/>
    </xf>
    <xf numFmtId="0" fontId="13" fillId="9" borderId="2" xfId="0" quotePrefix="1" applyFont="1" applyFill="1" applyBorder="1" applyAlignment="1">
      <alignment horizontal="center" wrapText="1"/>
    </xf>
    <xf numFmtId="4" fontId="11" fillId="0" borderId="2" xfId="0" applyNumberFormat="1" applyFont="1" applyBorder="1" applyAlignment="1">
      <alignment wrapText="1"/>
    </xf>
    <xf numFmtId="0" fontId="10" fillId="0" borderId="0" xfId="0" applyFont="1" applyFill="1" applyBorder="1" applyAlignment="1">
      <alignment horizontal="center" wrapText="1"/>
    </xf>
    <xf numFmtId="2" fontId="9" fillId="0" borderId="0" xfId="0" applyNumberFormat="1" applyFont="1" applyAlignment="1">
      <alignment wrapText="1"/>
    </xf>
    <xf numFmtId="4" fontId="0" fillId="0" borderId="0" xfId="0" applyNumberFormat="1"/>
    <xf numFmtId="4" fontId="8" fillId="0" borderId="0" xfId="0" applyNumberFormat="1" applyFont="1" applyAlignment="1">
      <alignment wrapText="1"/>
    </xf>
    <xf numFmtId="0" fontId="15" fillId="0" borderId="0" xfId="0" applyFont="1" applyAlignment="1">
      <alignment horizontal="left" indent="5"/>
    </xf>
    <xf numFmtId="3" fontId="15" fillId="0" borderId="0" xfId="0" applyNumberFormat="1" applyFont="1" applyAlignment="1">
      <alignment horizontal="left" indent="5"/>
    </xf>
    <xf numFmtId="3" fontId="8" fillId="0" borderId="0" xfId="0" applyNumberFormat="1" applyFont="1" applyAlignment="1">
      <alignment wrapText="1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wrapText="1"/>
    </xf>
    <xf numFmtId="3" fontId="9" fillId="0" borderId="2" xfId="0" applyNumberFormat="1" applyFont="1" applyBorder="1" applyAlignment="1">
      <alignment wrapText="1"/>
    </xf>
    <xf numFmtId="0" fontId="9" fillId="0" borderId="3" xfId="0" applyFont="1" applyBorder="1" applyAlignment="1">
      <alignment wrapText="1"/>
    </xf>
    <xf numFmtId="3" fontId="9" fillId="0" borderId="3" xfId="0" applyNumberFormat="1" applyFont="1" applyBorder="1" applyAlignment="1">
      <alignment wrapText="1"/>
    </xf>
    <xf numFmtId="1" fontId="8" fillId="0" borderId="0" xfId="0" applyNumberFormat="1" applyFont="1" applyAlignment="1">
      <alignment wrapText="1"/>
    </xf>
    <xf numFmtId="0" fontId="16" fillId="0" borderId="0" xfId="0" applyFont="1" applyAlignment="1">
      <alignment wrapText="1"/>
    </xf>
    <xf numFmtId="0" fontId="16" fillId="0" borderId="3" xfId="0" applyFont="1" applyBorder="1" applyAlignment="1">
      <alignment horizontal="center"/>
    </xf>
    <xf numFmtId="0" fontId="9" fillId="0" borderId="0" xfId="0" applyFont="1"/>
    <xf numFmtId="3" fontId="9" fillId="0" borderId="2" xfId="0" applyNumberFormat="1" applyFont="1" applyBorder="1"/>
    <xf numFmtId="3" fontId="9" fillId="0" borderId="0" xfId="0" applyNumberFormat="1" applyFont="1" applyBorder="1"/>
    <xf numFmtId="9" fontId="9" fillId="0" borderId="2" xfId="0" applyNumberFormat="1" applyFont="1" applyBorder="1"/>
    <xf numFmtId="3" fontId="16" fillId="0" borderId="2" xfId="0" applyNumberFormat="1" applyFont="1" applyBorder="1"/>
    <xf numFmtId="0" fontId="16" fillId="0" borderId="0" xfId="0" applyFont="1" applyFill="1" applyBorder="1" applyAlignment="1">
      <alignment wrapText="1"/>
    </xf>
    <xf numFmtId="0" fontId="16" fillId="0" borderId="0" xfId="0" applyFont="1" applyAlignment="1">
      <alignment horizontal="right" wrapText="1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17" fillId="0" borderId="3" xfId="0" applyFont="1" applyBorder="1" applyAlignment="1">
      <alignment horizontal="center"/>
    </xf>
    <xf numFmtId="0" fontId="17" fillId="0" borderId="2" xfId="0" applyFont="1" applyBorder="1" applyAlignment="1">
      <alignment horizontal="right"/>
    </xf>
    <xf numFmtId="3" fontId="18" fillId="2" borderId="2" xfId="0" applyNumberFormat="1" applyFont="1" applyFill="1" applyBorder="1"/>
    <xf numFmtId="3" fontId="18" fillId="0" borderId="2" xfId="0" applyNumberFormat="1" applyFont="1" applyBorder="1"/>
    <xf numFmtId="0" fontId="17" fillId="0" borderId="0" xfId="0" applyFont="1" applyAlignment="1">
      <alignment horizontal="right"/>
    </xf>
    <xf numFmtId="3" fontId="18" fillId="0" borderId="0" xfId="0" applyNumberFormat="1" applyFont="1"/>
    <xf numFmtId="0" fontId="17" fillId="0" borderId="2" xfId="0" applyFont="1" applyBorder="1"/>
    <xf numFmtId="0" fontId="18" fillId="0" borderId="2" xfId="0" applyFont="1" applyBorder="1"/>
    <xf numFmtId="3" fontId="19" fillId="0" borderId="0" xfId="0" applyNumberFormat="1" applyFont="1"/>
    <xf numFmtId="9" fontId="17" fillId="0" borderId="2" xfId="1" applyNumberFormat="1" applyFont="1" applyBorder="1"/>
    <xf numFmtId="9" fontId="18" fillId="0" borderId="0" xfId="1" applyFont="1"/>
    <xf numFmtId="3" fontId="20" fillId="0" borderId="2" xfId="0" applyNumberFormat="1" applyFont="1" applyBorder="1"/>
    <xf numFmtId="0" fontId="17" fillId="0" borderId="2" xfId="0" applyFont="1" applyBorder="1" applyAlignment="1">
      <alignment horizontal="right" wrapText="1"/>
    </xf>
    <xf numFmtId="0" fontId="20" fillId="0" borderId="0" xfId="0" applyFont="1"/>
    <xf numFmtId="3" fontId="20" fillId="0" borderId="0" xfId="0" applyNumberFormat="1" applyFont="1"/>
    <xf numFmtId="10" fontId="18" fillId="0" borderId="2" xfId="1" applyNumberFormat="1" applyFont="1" applyBorder="1"/>
    <xf numFmtId="3" fontId="19" fillId="0" borderId="2" xfId="0" applyNumberFormat="1" applyFont="1" applyBorder="1"/>
    <xf numFmtId="0" fontId="19" fillId="0" borderId="2" xfId="0" applyFont="1" applyBorder="1"/>
    <xf numFmtId="0" fontId="21" fillId="0" borderId="2" xfId="0" applyFont="1" applyBorder="1"/>
    <xf numFmtId="0" fontId="17" fillId="0" borderId="11" xfId="0" applyFont="1" applyBorder="1" applyAlignment="1">
      <alignment horizontal="right"/>
    </xf>
    <xf numFmtId="0" fontId="17" fillId="0" borderId="12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0" fontId="10" fillId="0" borderId="12" xfId="0" applyFont="1" applyBorder="1" applyAlignment="1">
      <alignment horizontal="right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23"/>
  <sheetViews>
    <sheetView workbookViewId="0">
      <selection activeCell="C29" sqref="C29"/>
    </sheetView>
  </sheetViews>
  <sheetFormatPr baseColWidth="10" defaultRowHeight="12.75"/>
  <cols>
    <col min="3" max="3" width="41.42578125" customWidth="1"/>
  </cols>
  <sheetData>
    <row r="3" spans="1:6">
      <c r="B3" s="70" t="s">
        <v>167</v>
      </c>
      <c r="C3" s="70" t="s">
        <v>168</v>
      </c>
      <c r="D3" s="70" t="s">
        <v>169</v>
      </c>
      <c r="E3" s="70" t="s">
        <v>170</v>
      </c>
      <c r="F3" s="70" t="s">
        <v>171</v>
      </c>
    </row>
    <row r="4" spans="1:6">
      <c r="A4">
        <v>1</v>
      </c>
      <c r="B4" s="7" t="s">
        <v>177</v>
      </c>
      <c r="C4" s="7" t="s">
        <v>175</v>
      </c>
      <c r="D4" s="7" t="s">
        <v>172</v>
      </c>
      <c r="E4" s="7">
        <v>35</v>
      </c>
      <c r="F4" s="71">
        <v>48.05</v>
      </c>
    </row>
    <row r="5" spans="1:6">
      <c r="A5">
        <v>2</v>
      </c>
      <c r="B5" s="7" t="s">
        <v>178</v>
      </c>
      <c r="C5" s="7" t="s">
        <v>176</v>
      </c>
      <c r="D5" s="7" t="s">
        <v>172</v>
      </c>
      <c r="E5" s="7">
        <v>35</v>
      </c>
      <c r="F5" s="71">
        <v>48.05</v>
      </c>
    </row>
    <row r="6" spans="1:6">
      <c r="A6">
        <v>3</v>
      </c>
      <c r="B6" s="7" t="s">
        <v>179</v>
      </c>
      <c r="C6" s="7" t="s">
        <v>187</v>
      </c>
      <c r="D6" s="7" t="s">
        <v>172</v>
      </c>
      <c r="E6" s="7">
        <v>35</v>
      </c>
      <c r="F6" s="71">
        <v>48.05</v>
      </c>
    </row>
    <row r="7" spans="1:6">
      <c r="A7">
        <v>4</v>
      </c>
      <c r="B7" s="7" t="s">
        <v>180</v>
      </c>
      <c r="C7" s="7" t="s">
        <v>188</v>
      </c>
      <c r="D7" s="7" t="s">
        <v>172</v>
      </c>
      <c r="E7" s="7">
        <v>35</v>
      </c>
      <c r="F7" s="71">
        <v>48.05</v>
      </c>
    </row>
    <row r="8" spans="1:6">
      <c r="A8">
        <v>5</v>
      </c>
      <c r="B8" s="7" t="s">
        <v>213</v>
      </c>
      <c r="C8" s="7" t="s">
        <v>189</v>
      </c>
      <c r="D8" s="7" t="s">
        <v>172</v>
      </c>
      <c r="E8" s="7">
        <v>35</v>
      </c>
      <c r="F8" s="71">
        <v>48.05</v>
      </c>
    </row>
    <row r="9" spans="1:6">
      <c r="A9">
        <v>6</v>
      </c>
      <c r="B9" s="7" t="s">
        <v>181</v>
      </c>
      <c r="C9" s="7" t="s">
        <v>216</v>
      </c>
      <c r="D9" s="7" t="s">
        <v>172</v>
      </c>
      <c r="E9" s="7">
        <v>35</v>
      </c>
      <c r="F9" s="71">
        <v>48.05</v>
      </c>
    </row>
    <row r="10" spans="1:6">
      <c r="A10">
        <v>7</v>
      </c>
      <c r="B10" s="7" t="s">
        <v>182</v>
      </c>
      <c r="C10" s="7" t="s">
        <v>190</v>
      </c>
      <c r="D10" s="7" t="s">
        <v>172</v>
      </c>
      <c r="E10" s="7">
        <v>35</v>
      </c>
      <c r="F10" s="71">
        <v>48.05</v>
      </c>
    </row>
    <row r="11" spans="1:6">
      <c r="A11">
        <v>8</v>
      </c>
      <c r="B11" s="7" t="s">
        <v>183</v>
      </c>
      <c r="C11" s="7" t="s">
        <v>191</v>
      </c>
      <c r="D11" s="7" t="s">
        <v>172</v>
      </c>
      <c r="E11" s="7">
        <v>35</v>
      </c>
      <c r="F11" s="71">
        <v>48.05</v>
      </c>
    </row>
    <row r="12" spans="1:6">
      <c r="A12">
        <v>9</v>
      </c>
      <c r="B12" s="7" t="s">
        <v>184</v>
      </c>
      <c r="C12" s="7" t="s">
        <v>192</v>
      </c>
      <c r="D12" s="7" t="s">
        <v>172</v>
      </c>
      <c r="E12" s="7">
        <v>35</v>
      </c>
      <c r="F12" s="71">
        <v>48.05</v>
      </c>
    </row>
    <row r="13" spans="1:6">
      <c r="A13">
        <v>10</v>
      </c>
      <c r="B13" s="7" t="s">
        <v>185</v>
      </c>
      <c r="C13" s="7" t="s">
        <v>193</v>
      </c>
      <c r="D13" s="7" t="s">
        <v>172</v>
      </c>
      <c r="E13" s="7">
        <v>35</v>
      </c>
      <c r="F13" s="71">
        <v>48.05</v>
      </c>
    </row>
    <row r="14" spans="1:6">
      <c r="A14">
        <v>11</v>
      </c>
      <c r="B14" s="7" t="s">
        <v>186</v>
      </c>
      <c r="C14" s="7" t="s">
        <v>194</v>
      </c>
      <c r="D14" s="7" t="s">
        <v>172</v>
      </c>
      <c r="E14" s="7">
        <v>35</v>
      </c>
      <c r="F14" s="71">
        <v>48.05</v>
      </c>
    </row>
    <row r="15" spans="1:6">
      <c r="A15">
        <v>12</v>
      </c>
      <c r="B15" s="7" t="s">
        <v>203</v>
      </c>
      <c r="C15" s="7" t="s">
        <v>174</v>
      </c>
      <c r="D15" s="7" t="s">
        <v>173</v>
      </c>
      <c r="E15" s="7">
        <v>35</v>
      </c>
      <c r="F15" s="71">
        <v>57.86</v>
      </c>
    </row>
    <row r="16" spans="1:6">
      <c r="A16">
        <v>13</v>
      </c>
      <c r="B16" s="7" t="s">
        <v>204</v>
      </c>
      <c r="C16" s="7" t="s">
        <v>195</v>
      </c>
      <c r="D16" s="7" t="s">
        <v>173</v>
      </c>
      <c r="E16" s="7">
        <v>35</v>
      </c>
      <c r="F16" s="71">
        <v>57.86</v>
      </c>
    </row>
    <row r="17" spans="1:6">
      <c r="A17">
        <v>14</v>
      </c>
      <c r="B17" s="7" t="s">
        <v>205</v>
      </c>
      <c r="C17" s="7" t="s">
        <v>196</v>
      </c>
      <c r="D17" s="7" t="s">
        <v>173</v>
      </c>
      <c r="E17" s="7">
        <v>35</v>
      </c>
      <c r="F17" s="71">
        <v>57.86</v>
      </c>
    </row>
    <row r="18" spans="1:6">
      <c r="A18">
        <v>15</v>
      </c>
      <c r="B18" s="7" t="s">
        <v>206</v>
      </c>
      <c r="C18" s="7" t="s">
        <v>197</v>
      </c>
      <c r="D18" s="7" t="s">
        <v>173</v>
      </c>
      <c r="E18" s="7">
        <v>35</v>
      </c>
      <c r="F18" s="71">
        <v>57.86</v>
      </c>
    </row>
    <row r="19" spans="1:6">
      <c r="A19">
        <v>16</v>
      </c>
      <c r="B19" s="7" t="s">
        <v>207</v>
      </c>
      <c r="C19" s="7" t="s">
        <v>198</v>
      </c>
      <c r="D19" s="7" t="s">
        <v>173</v>
      </c>
      <c r="E19" s="7">
        <v>35</v>
      </c>
      <c r="F19" s="71">
        <v>57.86</v>
      </c>
    </row>
    <row r="20" spans="1:6">
      <c r="A20">
        <v>17</v>
      </c>
      <c r="B20" s="7" t="s">
        <v>208</v>
      </c>
      <c r="C20" s="7" t="s">
        <v>199</v>
      </c>
      <c r="D20" s="7" t="s">
        <v>173</v>
      </c>
      <c r="E20" s="7">
        <v>35</v>
      </c>
      <c r="F20" s="71">
        <v>57.86</v>
      </c>
    </row>
    <row r="21" spans="1:6">
      <c r="A21">
        <v>18</v>
      </c>
      <c r="B21" s="7" t="s">
        <v>209</v>
      </c>
      <c r="C21" s="7" t="s">
        <v>200</v>
      </c>
      <c r="D21" s="7" t="s">
        <v>173</v>
      </c>
      <c r="E21" s="7">
        <v>35</v>
      </c>
      <c r="F21" s="71">
        <v>57.86</v>
      </c>
    </row>
    <row r="22" spans="1:6">
      <c r="A22">
        <v>19</v>
      </c>
      <c r="B22" s="7" t="s">
        <v>210</v>
      </c>
      <c r="C22" s="7" t="s">
        <v>201</v>
      </c>
      <c r="D22" s="7" t="s">
        <v>173</v>
      </c>
      <c r="E22" s="7">
        <v>35</v>
      </c>
      <c r="F22" s="71">
        <v>57.86</v>
      </c>
    </row>
    <row r="23" spans="1:6">
      <c r="A23">
        <v>20</v>
      </c>
      <c r="B23" s="7" t="s">
        <v>211</v>
      </c>
      <c r="C23" s="7" t="s">
        <v>202</v>
      </c>
      <c r="D23" s="7" t="s">
        <v>173</v>
      </c>
      <c r="E23" s="7">
        <v>35</v>
      </c>
      <c r="F23" s="71">
        <v>57.86</v>
      </c>
    </row>
  </sheetData>
  <phoneticPr fontId="4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L52"/>
  <sheetViews>
    <sheetView topLeftCell="A4" workbookViewId="0">
      <selection activeCell="A20" sqref="A20"/>
    </sheetView>
  </sheetViews>
  <sheetFormatPr baseColWidth="10" defaultColWidth="11.5703125" defaultRowHeight="12.75"/>
  <cols>
    <col min="1" max="1" width="5.42578125" style="23" customWidth="1"/>
    <col min="2" max="2" width="6.42578125" style="23" customWidth="1"/>
    <col min="3" max="3" width="30.28515625" style="23" customWidth="1"/>
    <col min="4" max="4" width="6.7109375" style="24" customWidth="1"/>
    <col min="5" max="5" width="0" style="24" hidden="1" customWidth="1"/>
    <col min="6" max="6" width="4.7109375" style="24" customWidth="1"/>
    <col min="7" max="7" width="7.5703125" style="24" customWidth="1"/>
    <col min="8" max="8" width="6" style="24" customWidth="1"/>
    <col min="9" max="9" width="8.42578125" style="24" customWidth="1"/>
    <col min="10" max="10" width="8" style="24" customWidth="1"/>
    <col min="11" max="11" width="7.5703125" style="24" customWidth="1"/>
    <col min="12" max="12" width="8.42578125" style="24" customWidth="1"/>
    <col min="13" max="13" width="8.85546875" style="24" customWidth="1"/>
    <col min="14" max="14" width="9.7109375" style="24" customWidth="1"/>
    <col min="15" max="15" width="8.42578125" style="24" customWidth="1"/>
    <col min="16" max="16" width="7.42578125" style="24" customWidth="1"/>
    <col min="17" max="17" width="8.28515625" style="24" customWidth="1"/>
    <col min="18" max="20" width="8.42578125" style="24" customWidth="1"/>
    <col min="21" max="21" width="8.5703125" style="24" customWidth="1"/>
    <col min="22" max="22" width="8.140625" style="24" customWidth="1"/>
    <col min="23" max="23" width="8.42578125" style="24" customWidth="1"/>
    <col min="24" max="26" width="8.5703125" style="24" customWidth="1"/>
    <col min="27" max="28" width="8.140625" style="24" customWidth="1"/>
    <col min="29" max="30" width="8.7109375" style="24" customWidth="1"/>
    <col min="31" max="33" width="11.5703125" style="23" customWidth="1"/>
    <col min="34" max="34" width="19.5703125" style="23" customWidth="1"/>
    <col min="35" max="16384" width="11.5703125" style="23"/>
  </cols>
  <sheetData>
    <row r="3" spans="1:33" ht="27.75">
      <c r="A3" s="26"/>
      <c r="B3" s="26" t="s">
        <v>116</v>
      </c>
      <c r="C3" s="26" t="s">
        <v>117</v>
      </c>
      <c r="D3" s="72" t="s">
        <v>136</v>
      </c>
      <c r="E3" s="72" t="s">
        <v>95</v>
      </c>
      <c r="F3" s="72" t="s">
        <v>96</v>
      </c>
      <c r="G3" s="81" t="s">
        <v>143</v>
      </c>
      <c r="H3" s="82" t="s">
        <v>144</v>
      </c>
      <c r="I3" s="75" t="s">
        <v>177</v>
      </c>
      <c r="J3" s="75" t="s">
        <v>178</v>
      </c>
      <c r="K3" s="75" t="s">
        <v>179</v>
      </c>
      <c r="L3" s="75" t="s">
        <v>180</v>
      </c>
      <c r="M3" s="75" t="s">
        <v>213</v>
      </c>
      <c r="N3" s="75" t="s">
        <v>181</v>
      </c>
      <c r="O3" s="75" t="s">
        <v>182</v>
      </c>
      <c r="P3" s="75" t="s">
        <v>183</v>
      </c>
      <c r="Q3" s="75" t="s">
        <v>184</v>
      </c>
      <c r="R3" s="75" t="s">
        <v>185</v>
      </c>
      <c r="S3" s="75" t="s">
        <v>186</v>
      </c>
      <c r="T3" s="78" t="s">
        <v>203</v>
      </c>
      <c r="U3" s="78" t="s">
        <v>204</v>
      </c>
      <c r="V3" s="78" t="s">
        <v>205</v>
      </c>
      <c r="W3" s="78" t="s">
        <v>206</v>
      </c>
      <c r="X3" s="78" t="s">
        <v>207</v>
      </c>
      <c r="Y3" s="78" t="s">
        <v>208</v>
      </c>
      <c r="Z3" s="78" t="s">
        <v>209</v>
      </c>
      <c r="AA3" s="78" t="s">
        <v>210</v>
      </c>
      <c r="AB3" s="78" t="s">
        <v>211</v>
      </c>
      <c r="AC3" s="27" t="s">
        <v>94</v>
      </c>
      <c r="AD3" s="27" t="s">
        <v>97</v>
      </c>
      <c r="AE3" s="27" t="s">
        <v>217</v>
      </c>
      <c r="AF3" s="94"/>
      <c r="AG3" s="23" t="s">
        <v>218</v>
      </c>
    </row>
    <row r="4" spans="1:33" ht="18.75">
      <c r="A4" s="26" t="s">
        <v>118</v>
      </c>
      <c r="B4" s="26"/>
      <c r="C4" s="26" t="s">
        <v>119</v>
      </c>
      <c r="D4" s="73"/>
      <c r="E4" s="73"/>
      <c r="F4" s="73"/>
      <c r="G4" s="76"/>
      <c r="H4" s="79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9"/>
      <c r="U4" s="79"/>
      <c r="V4" s="79"/>
      <c r="W4" s="79"/>
      <c r="X4" s="79"/>
      <c r="Y4" s="79"/>
      <c r="Z4" s="79"/>
      <c r="AA4" s="79"/>
      <c r="AB4" s="79"/>
      <c r="AC4" s="29"/>
      <c r="AD4" s="28"/>
      <c r="AE4" s="28"/>
      <c r="AF4" s="28"/>
    </row>
    <row r="5" spans="1:33" ht="19.5">
      <c r="A5" s="30" t="s">
        <v>54</v>
      </c>
      <c r="B5" s="30" t="s">
        <v>55</v>
      </c>
      <c r="C5" s="30" t="s">
        <v>56</v>
      </c>
      <c r="D5" s="74" t="s">
        <v>128</v>
      </c>
      <c r="E5" s="74">
        <v>2</v>
      </c>
      <c r="F5" s="85">
        <v>9</v>
      </c>
      <c r="G5" s="86">
        <v>4</v>
      </c>
      <c r="H5" s="87">
        <v>1</v>
      </c>
      <c r="I5" s="83" t="s">
        <v>212</v>
      </c>
      <c r="J5" s="83" t="s">
        <v>212</v>
      </c>
      <c r="K5" s="77"/>
      <c r="L5" s="91" t="s">
        <v>215</v>
      </c>
      <c r="M5" s="91" t="s">
        <v>215</v>
      </c>
      <c r="N5" s="83" t="s">
        <v>212</v>
      </c>
      <c r="O5" s="77"/>
      <c r="P5" s="77"/>
      <c r="Q5" s="77"/>
      <c r="R5" s="77"/>
      <c r="S5" s="77"/>
      <c r="T5" s="84" t="s">
        <v>212</v>
      </c>
      <c r="U5" s="80"/>
      <c r="V5" s="80"/>
      <c r="W5" s="80"/>
      <c r="X5" s="80"/>
      <c r="Y5" s="80"/>
      <c r="Z5" s="80"/>
      <c r="AA5" s="80"/>
      <c r="AB5" s="80"/>
      <c r="AC5" s="93">
        <f>G5*F5*CIN</f>
        <v>12108.599999999999</v>
      </c>
      <c r="AD5" s="93">
        <f>H5*F5*CEX</f>
        <v>3645.18</v>
      </c>
      <c r="AE5" s="93">
        <f>AD5+AC5</f>
        <v>15753.779999999999</v>
      </c>
      <c r="AF5" s="93">
        <f>(G5+H5)*F5*7</f>
        <v>315</v>
      </c>
    </row>
    <row r="6" spans="1:33" ht="19.5">
      <c r="A6" s="30" t="s">
        <v>54</v>
      </c>
      <c r="B6" s="30" t="s">
        <v>57</v>
      </c>
      <c r="C6" s="30" t="s">
        <v>58</v>
      </c>
      <c r="D6" s="74" t="s">
        <v>129</v>
      </c>
      <c r="E6" s="74">
        <v>4</v>
      </c>
      <c r="F6" s="85">
        <f>E6*5</f>
        <v>20</v>
      </c>
      <c r="G6" s="86">
        <v>5</v>
      </c>
      <c r="H6" s="87">
        <v>2</v>
      </c>
      <c r="I6" s="83" t="s">
        <v>212</v>
      </c>
      <c r="J6" s="91" t="s">
        <v>215</v>
      </c>
      <c r="K6" s="83"/>
      <c r="L6" s="77"/>
      <c r="M6" s="77"/>
      <c r="N6" s="83" t="s">
        <v>212</v>
      </c>
      <c r="O6" s="91" t="s">
        <v>215</v>
      </c>
      <c r="P6" s="91" t="s">
        <v>215</v>
      </c>
      <c r="Q6" s="91" t="s">
        <v>215</v>
      </c>
      <c r="R6" s="91" t="s">
        <v>215</v>
      </c>
      <c r="S6" s="91" t="s">
        <v>215</v>
      </c>
      <c r="T6" s="84" t="s">
        <v>212</v>
      </c>
      <c r="U6" s="92" t="s">
        <v>215</v>
      </c>
      <c r="V6" s="92" t="s">
        <v>215</v>
      </c>
      <c r="W6" s="80"/>
      <c r="X6" s="80"/>
      <c r="Y6" s="80"/>
      <c r="Z6" s="80"/>
      <c r="AA6" s="80"/>
      <c r="AB6" s="80"/>
      <c r="AC6" s="93">
        <f>G6*F6*CIN</f>
        <v>33635</v>
      </c>
      <c r="AD6" s="93">
        <f>H6*F6*CEX</f>
        <v>16200.8</v>
      </c>
      <c r="AE6" s="93">
        <f>AD6+AC6</f>
        <v>49835.8</v>
      </c>
      <c r="AF6" s="93">
        <f t="shared" ref="AF6:AF31" si="0">(G6+H6)*F6*7</f>
        <v>980</v>
      </c>
    </row>
    <row r="7" spans="1:33" ht="18">
      <c r="A7" s="30" t="s">
        <v>54</v>
      </c>
      <c r="B7" s="30" t="s">
        <v>59</v>
      </c>
      <c r="C7" s="30" t="s">
        <v>60</v>
      </c>
      <c r="D7" s="74" t="s">
        <v>55</v>
      </c>
      <c r="E7" s="74">
        <v>3</v>
      </c>
      <c r="F7" s="85">
        <f>E7*5</f>
        <v>15</v>
      </c>
      <c r="G7" s="86">
        <v>3</v>
      </c>
      <c r="H7" s="87">
        <v>1</v>
      </c>
      <c r="I7" s="77"/>
      <c r="J7" s="83" t="s">
        <v>212</v>
      </c>
      <c r="K7" s="83" t="s">
        <v>212</v>
      </c>
      <c r="L7" s="77"/>
      <c r="M7" s="83" t="s">
        <v>212</v>
      </c>
      <c r="N7" s="77"/>
      <c r="O7" s="77"/>
      <c r="P7" s="77"/>
      <c r="Q7" s="77"/>
      <c r="R7" s="77"/>
      <c r="S7" s="77"/>
      <c r="T7" s="92" t="s">
        <v>215</v>
      </c>
      <c r="U7" s="80"/>
      <c r="V7" s="80"/>
      <c r="W7" s="92" t="s">
        <v>215</v>
      </c>
      <c r="X7" s="80"/>
      <c r="Y7" s="80"/>
      <c r="Z7" s="80"/>
      <c r="AA7" s="80"/>
      <c r="AB7" s="80"/>
      <c r="AC7" s="93">
        <f>G7*F7*CIN</f>
        <v>15135.749999999998</v>
      </c>
      <c r="AD7" s="93">
        <f>H7*F7*CEX</f>
        <v>6075.2999999999993</v>
      </c>
      <c r="AE7" s="93">
        <f>AD7+AC7</f>
        <v>21211.049999999996</v>
      </c>
      <c r="AF7" s="93">
        <f t="shared" si="0"/>
        <v>420</v>
      </c>
    </row>
    <row r="8" spans="1:33" ht="18">
      <c r="A8" s="30" t="s">
        <v>54</v>
      </c>
      <c r="B8" s="30" t="s">
        <v>61</v>
      </c>
      <c r="C8" s="30" t="s">
        <v>62</v>
      </c>
      <c r="D8" s="74" t="s">
        <v>130</v>
      </c>
      <c r="E8" s="74">
        <v>2</v>
      </c>
      <c r="F8" s="85">
        <f>E8*5</f>
        <v>10</v>
      </c>
      <c r="G8" s="86">
        <v>5</v>
      </c>
      <c r="H8" s="87">
        <v>1</v>
      </c>
      <c r="I8" s="83" t="s">
        <v>212</v>
      </c>
      <c r="J8" s="83" t="s">
        <v>212</v>
      </c>
      <c r="K8" s="77"/>
      <c r="L8" s="83" t="s">
        <v>212</v>
      </c>
      <c r="M8" s="83" t="s">
        <v>212</v>
      </c>
      <c r="N8" s="83" t="s">
        <v>212</v>
      </c>
      <c r="O8" s="77"/>
      <c r="P8" s="77"/>
      <c r="Q8" s="77"/>
      <c r="R8" s="77"/>
      <c r="S8" s="77"/>
      <c r="T8" s="92" t="s">
        <v>215</v>
      </c>
      <c r="U8" s="80"/>
      <c r="V8" s="92" t="s">
        <v>215</v>
      </c>
      <c r="W8" s="80"/>
      <c r="X8" s="80"/>
      <c r="Y8" s="80"/>
      <c r="Z8" s="80"/>
      <c r="AA8" s="80"/>
      <c r="AB8" s="80"/>
      <c r="AC8" s="93">
        <f>G8*F8*CIN</f>
        <v>16817.5</v>
      </c>
      <c r="AD8" s="93">
        <f>H8*F8*CEX</f>
        <v>4050.2</v>
      </c>
      <c r="AE8" s="93">
        <f>AD8+AC8</f>
        <v>20867.7</v>
      </c>
      <c r="AF8" s="93">
        <f t="shared" si="0"/>
        <v>420</v>
      </c>
    </row>
    <row r="9" spans="1:33">
      <c r="A9" s="30" t="s">
        <v>91</v>
      </c>
      <c r="B9" s="30" t="s">
        <v>63</v>
      </c>
      <c r="C9" s="30" t="s">
        <v>127</v>
      </c>
      <c r="D9" s="74" t="s">
        <v>61</v>
      </c>
      <c r="E9" s="73"/>
      <c r="F9" s="88"/>
      <c r="G9" s="89"/>
      <c r="H9" s="90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9"/>
      <c r="U9" s="79"/>
      <c r="V9" s="79"/>
      <c r="W9" s="79"/>
      <c r="X9" s="79"/>
      <c r="Y9" s="79"/>
      <c r="Z9" s="79"/>
      <c r="AA9" s="79"/>
      <c r="AB9" s="79"/>
      <c r="AC9" s="29"/>
      <c r="AD9" s="29"/>
      <c r="AE9" s="29"/>
      <c r="AF9" s="29"/>
    </row>
    <row r="10" spans="1:33" ht="18.75">
      <c r="A10" s="26" t="s">
        <v>118</v>
      </c>
      <c r="B10" s="30"/>
      <c r="C10" s="26" t="s">
        <v>120</v>
      </c>
      <c r="D10" s="73"/>
      <c r="E10" s="73"/>
      <c r="F10" s="88"/>
      <c r="G10" s="89"/>
      <c r="H10" s="90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9"/>
      <c r="U10" s="79"/>
      <c r="V10" s="79"/>
      <c r="W10" s="79"/>
      <c r="X10" s="79"/>
      <c r="Y10" s="79"/>
      <c r="Z10" s="79"/>
      <c r="AA10" s="79"/>
      <c r="AB10" s="79"/>
      <c r="AC10" s="29"/>
      <c r="AD10" s="29"/>
      <c r="AE10" s="29"/>
      <c r="AF10" s="29"/>
    </row>
    <row r="11" spans="1:33" ht="18">
      <c r="A11" s="30" t="s">
        <v>54</v>
      </c>
      <c r="B11" s="30" t="s">
        <v>64</v>
      </c>
      <c r="C11" s="30" t="s">
        <v>134</v>
      </c>
      <c r="D11" s="74" t="s">
        <v>63</v>
      </c>
      <c r="E11" s="74">
        <v>4</v>
      </c>
      <c r="F11" s="85">
        <f>E11*5</f>
        <v>20</v>
      </c>
      <c r="G11" s="86">
        <v>5</v>
      </c>
      <c r="H11" s="87">
        <v>0</v>
      </c>
      <c r="I11" s="83" t="s">
        <v>212</v>
      </c>
      <c r="J11" s="83" t="s">
        <v>212</v>
      </c>
      <c r="K11" s="83" t="s">
        <v>212</v>
      </c>
      <c r="L11" s="83" t="s">
        <v>212</v>
      </c>
      <c r="M11" s="83"/>
      <c r="N11" s="83" t="s">
        <v>212</v>
      </c>
      <c r="O11" s="77"/>
      <c r="P11" s="77"/>
      <c r="Q11" s="77"/>
      <c r="R11" s="77"/>
      <c r="S11" s="77"/>
      <c r="T11" s="80"/>
      <c r="U11" s="80"/>
      <c r="V11" s="80"/>
      <c r="W11" s="80"/>
      <c r="X11" s="80"/>
      <c r="Y11" s="80"/>
      <c r="Z11" s="80"/>
      <c r="AA11" s="80"/>
      <c r="AB11" s="80"/>
      <c r="AC11" s="31">
        <f>G11*F11*CIN</f>
        <v>33635</v>
      </c>
      <c r="AD11" s="31">
        <f>H11*F11*CEX</f>
        <v>0</v>
      </c>
      <c r="AE11" s="93">
        <f>AD11+AC11</f>
        <v>33635</v>
      </c>
      <c r="AF11" s="93">
        <f t="shared" si="0"/>
        <v>700</v>
      </c>
    </row>
    <row r="12" spans="1:33" ht="18">
      <c r="A12" s="30" t="s">
        <v>54</v>
      </c>
      <c r="B12" s="30" t="s">
        <v>66</v>
      </c>
      <c r="C12" s="30" t="s">
        <v>65</v>
      </c>
      <c r="D12" s="74" t="s">
        <v>63</v>
      </c>
      <c r="E12" s="74">
        <v>2</v>
      </c>
      <c r="F12" s="85">
        <f>E12*5</f>
        <v>10</v>
      </c>
      <c r="G12" s="86">
        <v>5</v>
      </c>
      <c r="H12" s="87">
        <v>1</v>
      </c>
      <c r="I12" s="77"/>
      <c r="J12" s="77"/>
      <c r="K12" s="77"/>
      <c r="L12" s="77"/>
      <c r="M12" s="77"/>
      <c r="N12" s="83"/>
      <c r="O12" s="83" t="s">
        <v>212</v>
      </c>
      <c r="P12" s="83" t="s">
        <v>212</v>
      </c>
      <c r="Q12" s="83" t="s">
        <v>212</v>
      </c>
      <c r="R12" s="83" t="s">
        <v>212</v>
      </c>
      <c r="S12" s="83" t="s">
        <v>212</v>
      </c>
      <c r="T12" s="84" t="s">
        <v>212</v>
      </c>
      <c r="U12" s="80"/>
      <c r="V12" s="80"/>
      <c r="W12" s="80"/>
      <c r="X12" s="80"/>
      <c r="Y12" s="80"/>
      <c r="Z12" s="80"/>
      <c r="AA12" s="80"/>
      <c r="AB12" s="80"/>
      <c r="AC12" s="31">
        <f>G12*F12*CIN</f>
        <v>16817.5</v>
      </c>
      <c r="AD12" s="31">
        <f>H12*F12*CEX</f>
        <v>4050.2</v>
      </c>
      <c r="AE12" s="93">
        <f>AD12+AC12</f>
        <v>20867.7</v>
      </c>
      <c r="AF12" s="93">
        <f t="shared" si="0"/>
        <v>420</v>
      </c>
    </row>
    <row r="13" spans="1:33" ht="18">
      <c r="A13" s="30" t="s">
        <v>54</v>
      </c>
      <c r="B13" s="30" t="s">
        <v>68</v>
      </c>
      <c r="C13" s="30" t="s">
        <v>67</v>
      </c>
      <c r="D13" s="74" t="s">
        <v>64</v>
      </c>
      <c r="E13" s="74">
        <v>4</v>
      </c>
      <c r="F13" s="85">
        <f>E13*5</f>
        <v>20</v>
      </c>
      <c r="G13" s="86">
        <v>5</v>
      </c>
      <c r="H13" s="87">
        <v>2</v>
      </c>
      <c r="I13" s="83" t="s">
        <v>212</v>
      </c>
      <c r="J13" s="83" t="s">
        <v>212</v>
      </c>
      <c r="K13" s="91" t="s">
        <v>215</v>
      </c>
      <c r="L13" s="83" t="s">
        <v>212</v>
      </c>
      <c r="M13" s="91" t="s">
        <v>215</v>
      </c>
      <c r="N13" s="77"/>
      <c r="O13" s="91" t="s">
        <v>214</v>
      </c>
      <c r="P13" s="91" t="s">
        <v>214</v>
      </c>
      <c r="Q13" s="91" t="s">
        <v>214</v>
      </c>
      <c r="R13" s="91" t="s">
        <v>214</v>
      </c>
      <c r="S13" s="91" t="s">
        <v>214</v>
      </c>
      <c r="T13" s="84" t="s">
        <v>212</v>
      </c>
      <c r="U13" s="80"/>
      <c r="V13" s="92" t="s">
        <v>215</v>
      </c>
      <c r="W13" s="92" t="s">
        <v>215</v>
      </c>
      <c r="X13" s="80"/>
      <c r="Y13" s="80"/>
      <c r="Z13" s="80"/>
      <c r="AA13" s="80"/>
      <c r="AB13" s="80"/>
      <c r="AC13" s="31">
        <f>G13*F13*CIN</f>
        <v>33635</v>
      </c>
      <c r="AD13" s="31">
        <f>H13*F13*CEX</f>
        <v>16200.8</v>
      </c>
      <c r="AE13" s="93">
        <f>AD13+AC13</f>
        <v>49835.8</v>
      </c>
      <c r="AF13" s="93">
        <f t="shared" si="0"/>
        <v>980</v>
      </c>
    </row>
    <row r="14" spans="1:33" ht="18">
      <c r="A14" s="30" t="s">
        <v>54</v>
      </c>
      <c r="B14" s="30" t="s">
        <v>70</v>
      </c>
      <c r="C14" s="30" t="s">
        <v>69</v>
      </c>
      <c r="D14" s="74" t="s">
        <v>68</v>
      </c>
      <c r="E14" s="74">
        <v>2</v>
      </c>
      <c r="F14" s="85">
        <v>9</v>
      </c>
      <c r="G14" s="86">
        <v>5</v>
      </c>
      <c r="H14" s="87">
        <v>3</v>
      </c>
      <c r="I14" s="83" t="s">
        <v>212</v>
      </c>
      <c r="J14" s="83" t="s">
        <v>212</v>
      </c>
      <c r="K14" s="83" t="s">
        <v>212</v>
      </c>
      <c r="L14" s="83" t="s">
        <v>212</v>
      </c>
      <c r="M14" s="83" t="s">
        <v>212</v>
      </c>
      <c r="N14" s="77"/>
      <c r="O14" s="77"/>
      <c r="P14" s="77"/>
      <c r="Q14" s="77"/>
      <c r="R14" s="77"/>
      <c r="S14" s="77"/>
      <c r="T14" s="92" t="s">
        <v>215</v>
      </c>
      <c r="U14" s="92" t="s">
        <v>215</v>
      </c>
      <c r="V14" s="92" t="s">
        <v>215</v>
      </c>
      <c r="W14" s="92" t="s">
        <v>215</v>
      </c>
      <c r="X14" s="84" t="s">
        <v>212</v>
      </c>
      <c r="Y14" s="80"/>
      <c r="Z14" s="80"/>
      <c r="AA14" s="80"/>
      <c r="AB14" s="80"/>
      <c r="AC14" s="31">
        <f>G14*F14*CIN</f>
        <v>15135.749999999998</v>
      </c>
      <c r="AD14" s="31">
        <f>H14*F14*CEX</f>
        <v>10935.539999999999</v>
      </c>
      <c r="AE14" s="93">
        <f>AD14+AC14</f>
        <v>26071.289999999997</v>
      </c>
      <c r="AF14" s="93">
        <f t="shared" si="0"/>
        <v>504</v>
      </c>
    </row>
    <row r="15" spans="1:33" ht="19.5">
      <c r="A15" s="30" t="s">
        <v>54</v>
      </c>
      <c r="B15" s="30" t="s">
        <v>72</v>
      </c>
      <c r="C15" s="30" t="s">
        <v>71</v>
      </c>
      <c r="D15" s="74" t="s">
        <v>70</v>
      </c>
      <c r="E15" s="74">
        <v>8</v>
      </c>
      <c r="F15" s="85">
        <v>39</v>
      </c>
      <c r="G15" s="86">
        <v>5</v>
      </c>
      <c r="H15" s="87">
        <v>4</v>
      </c>
      <c r="I15" s="83" t="s">
        <v>212</v>
      </c>
      <c r="J15" s="83" t="s">
        <v>212</v>
      </c>
      <c r="K15" s="91" t="s">
        <v>215</v>
      </c>
      <c r="L15" s="83" t="s">
        <v>212</v>
      </c>
      <c r="M15" s="91" t="s">
        <v>215</v>
      </c>
      <c r="N15" s="77"/>
      <c r="O15" s="91" t="s">
        <v>214</v>
      </c>
      <c r="P15" s="91" t="s">
        <v>214</v>
      </c>
      <c r="Q15" s="91" t="s">
        <v>214</v>
      </c>
      <c r="R15" s="91" t="s">
        <v>214</v>
      </c>
      <c r="S15" s="91" t="s">
        <v>214</v>
      </c>
      <c r="T15" s="92" t="s">
        <v>215</v>
      </c>
      <c r="U15" s="92" t="s">
        <v>215</v>
      </c>
      <c r="V15" s="92" t="s">
        <v>215</v>
      </c>
      <c r="W15" s="92" t="s">
        <v>215</v>
      </c>
      <c r="X15" s="84" t="s">
        <v>212</v>
      </c>
      <c r="Y15" s="92" t="s">
        <v>215</v>
      </c>
      <c r="Z15" s="92" t="s">
        <v>215</v>
      </c>
      <c r="AA15" s="80"/>
      <c r="AB15" s="80"/>
      <c r="AC15" s="31">
        <f>G15*F15*CIN</f>
        <v>65588.25</v>
      </c>
      <c r="AD15" s="31">
        <f>H15*F15*CEX</f>
        <v>63183.119999999995</v>
      </c>
      <c r="AE15" s="93">
        <f>AD15+AC15</f>
        <v>128771.37</v>
      </c>
      <c r="AF15" s="93">
        <f t="shared" si="0"/>
        <v>2457</v>
      </c>
    </row>
    <row r="16" spans="1:33">
      <c r="A16" s="30" t="s">
        <v>91</v>
      </c>
      <c r="B16" s="30" t="s">
        <v>73</v>
      </c>
      <c r="C16" s="30" t="s">
        <v>126</v>
      </c>
      <c r="D16" s="74" t="s">
        <v>166</v>
      </c>
      <c r="E16" s="73"/>
      <c r="F16" s="88"/>
      <c r="G16" s="89"/>
      <c r="H16" s="90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9"/>
      <c r="U16" s="79"/>
      <c r="V16" s="79"/>
      <c r="W16" s="79"/>
      <c r="X16" s="79"/>
      <c r="Y16" s="79"/>
      <c r="Z16" s="79"/>
      <c r="AA16" s="79"/>
      <c r="AB16" s="79"/>
      <c r="AC16" s="29"/>
      <c r="AD16" s="29"/>
      <c r="AE16" s="29"/>
      <c r="AF16" s="29"/>
    </row>
    <row r="17" spans="1:38" ht="18.75">
      <c r="A17" s="26" t="s">
        <v>118</v>
      </c>
      <c r="B17" s="30"/>
      <c r="C17" s="26" t="s">
        <v>121</v>
      </c>
      <c r="D17" s="73"/>
      <c r="E17" s="73"/>
      <c r="F17" s="88"/>
      <c r="G17" s="89"/>
      <c r="H17" s="90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9"/>
      <c r="U17" s="79"/>
      <c r="V17" s="79"/>
      <c r="W17" s="79"/>
      <c r="X17" s="79"/>
      <c r="Y17" s="79"/>
      <c r="Z17" s="79"/>
      <c r="AA17" s="79"/>
      <c r="AB17" s="79"/>
      <c r="AC17" s="29"/>
      <c r="AD17" s="29"/>
      <c r="AE17" s="29"/>
      <c r="AF17" s="29"/>
    </row>
    <row r="18" spans="1:38" ht="19.5">
      <c r="A18" s="30" t="s">
        <v>54</v>
      </c>
      <c r="B18" s="30" t="s">
        <v>75</v>
      </c>
      <c r="C18" s="30" t="s">
        <v>135</v>
      </c>
      <c r="D18" s="74" t="s">
        <v>73</v>
      </c>
      <c r="E18" s="74">
        <v>4</v>
      </c>
      <c r="F18" s="85">
        <v>19</v>
      </c>
      <c r="G18" s="86">
        <v>6</v>
      </c>
      <c r="H18" s="87">
        <v>0</v>
      </c>
      <c r="I18" s="77"/>
      <c r="J18" s="77"/>
      <c r="K18" s="77"/>
      <c r="L18" s="77"/>
      <c r="M18" s="77"/>
      <c r="N18" s="83" t="s">
        <v>212</v>
      </c>
      <c r="O18" s="83" t="s">
        <v>212</v>
      </c>
      <c r="P18" s="83" t="s">
        <v>212</v>
      </c>
      <c r="Q18" s="83" t="s">
        <v>212</v>
      </c>
      <c r="R18" s="83" t="s">
        <v>212</v>
      </c>
      <c r="S18" s="83" t="s">
        <v>212</v>
      </c>
      <c r="T18" s="80"/>
      <c r="U18" s="80"/>
      <c r="V18" s="80"/>
      <c r="W18" s="80"/>
      <c r="X18" s="80"/>
      <c r="Y18" s="80"/>
      <c r="Z18" s="80"/>
      <c r="AA18" s="80"/>
      <c r="AB18" s="80"/>
      <c r="AC18" s="31">
        <f>G18*F18*CIN</f>
        <v>38343.899999999994</v>
      </c>
      <c r="AD18" s="31">
        <f>H18*F18*CEX</f>
        <v>0</v>
      </c>
      <c r="AE18" s="93">
        <f>AD18+AC18</f>
        <v>38343.899999999994</v>
      </c>
      <c r="AF18" s="93">
        <f t="shared" si="0"/>
        <v>798</v>
      </c>
    </row>
    <row r="19" spans="1:38" ht="19.5">
      <c r="A19" s="30" t="s">
        <v>54</v>
      </c>
      <c r="B19" s="30" t="s">
        <v>77</v>
      </c>
      <c r="C19" s="30" t="s">
        <v>74</v>
      </c>
      <c r="D19" s="74" t="s">
        <v>75</v>
      </c>
      <c r="E19" s="74">
        <v>3</v>
      </c>
      <c r="F19" s="85">
        <v>14</v>
      </c>
      <c r="G19" s="86">
        <v>5</v>
      </c>
      <c r="H19" s="87">
        <v>2</v>
      </c>
      <c r="I19" s="77"/>
      <c r="J19" s="77"/>
      <c r="K19" s="77"/>
      <c r="L19" s="77"/>
      <c r="M19" s="77"/>
      <c r="N19" s="77"/>
      <c r="O19" s="83" t="s">
        <v>212</v>
      </c>
      <c r="P19" s="83" t="s">
        <v>212</v>
      </c>
      <c r="Q19" s="83" t="s">
        <v>212</v>
      </c>
      <c r="R19" s="83" t="s">
        <v>212</v>
      </c>
      <c r="S19" s="83" t="s">
        <v>212</v>
      </c>
      <c r="T19" s="92" t="s">
        <v>215</v>
      </c>
      <c r="U19" s="92" t="s">
        <v>215</v>
      </c>
      <c r="V19" s="92" t="s">
        <v>215</v>
      </c>
      <c r="W19" s="80"/>
      <c r="X19" s="92" t="s">
        <v>215</v>
      </c>
      <c r="Y19" s="80"/>
      <c r="Z19" s="80"/>
      <c r="AA19" s="80"/>
      <c r="AB19" s="80"/>
      <c r="AC19" s="31">
        <f>G19*F19*CIN</f>
        <v>23544.499999999996</v>
      </c>
      <c r="AD19" s="31">
        <f>H19*F19*CEX</f>
        <v>11340.56</v>
      </c>
      <c r="AE19" s="93">
        <f>AD19+AC19</f>
        <v>34885.06</v>
      </c>
      <c r="AF19" s="93">
        <f t="shared" si="0"/>
        <v>686</v>
      </c>
      <c r="AH19"/>
      <c r="AI19"/>
      <c r="AJ19"/>
      <c r="AK19"/>
    </row>
    <row r="20" spans="1:38" ht="18">
      <c r="A20" s="30" t="s">
        <v>54</v>
      </c>
      <c r="B20" s="30" t="s">
        <v>79</v>
      </c>
      <c r="C20" s="30" t="s">
        <v>76</v>
      </c>
      <c r="D20" s="74" t="s">
        <v>77</v>
      </c>
      <c r="E20" s="74">
        <v>2</v>
      </c>
      <c r="F20" s="85">
        <f>E20*5</f>
        <v>10</v>
      </c>
      <c r="G20" s="86">
        <v>6</v>
      </c>
      <c r="H20" s="87">
        <v>0</v>
      </c>
      <c r="I20" s="77"/>
      <c r="J20" s="77"/>
      <c r="K20" s="77"/>
      <c r="L20" s="77"/>
      <c r="M20" s="77"/>
      <c r="N20" s="83" t="s">
        <v>212</v>
      </c>
      <c r="O20" s="83" t="s">
        <v>212</v>
      </c>
      <c r="P20" s="83" t="s">
        <v>212</v>
      </c>
      <c r="Q20" s="83" t="s">
        <v>212</v>
      </c>
      <c r="R20" s="83" t="s">
        <v>212</v>
      </c>
      <c r="S20" s="83" t="s">
        <v>212</v>
      </c>
      <c r="T20" s="80"/>
      <c r="U20" s="80"/>
      <c r="V20" s="80"/>
      <c r="W20" s="80"/>
      <c r="X20" s="80"/>
      <c r="Y20" s="80"/>
      <c r="Z20" s="80"/>
      <c r="AA20" s="80"/>
      <c r="AB20" s="80"/>
      <c r="AC20" s="31">
        <f>G20*F20*CIN</f>
        <v>20180.999999999996</v>
      </c>
      <c r="AD20" s="31">
        <f>H20*F20*CEX</f>
        <v>0</v>
      </c>
      <c r="AE20" s="93">
        <f>AD20+AC20</f>
        <v>20180.999999999996</v>
      </c>
      <c r="AF20" s="93">
        <f t="shared" si="0"/>
        <v>420</v>
      </c>
      <c r="AH20"/>
      <c r="AI20" s="24"/>
      <c r="AJ20" s="101" t="s">
        <v>3</v>
      </c>
      <c r="AK20" s="101" t="s">
        <v>4</v>
      </c>
      <c r="AL20" s="101" t="s">
        <v>164</v>
      </c>
    </row>
    <row r="21" spans="1:38" ht="24">
      <c r="A21" s="30" t="s">
        <v>54</v>
      </c>
      <c r="B21" s="30" t="s">
        <v>81</v>
      </c>
      <c r="C21" s="30" t="s">
        <v>78</v>
      </c>
      <c r="D21" s="74" t="s">
        <v>77</v>
      </c>
      <c r="E21" s="74">
        <v>2</v>
      </c>
      <c r="F21" s="85">
        <f>E21*5</f>
        <v>10</v>
      </c>
      <c r="G21" s="86">
        <v>5</v>
      </c>
      <c r="H21" s="87">
        <v>2</v>
      </c>
      <c r="I21" s="91" t="s">
        <v>215</v>
      </c>
      <c r="J21" s="91" t="s">
        <v>215</v>
      </c>
      <c r="K21" s="91" t="s">
        <v>215</v>
      </c>
      <c r="L21" s="91"/>
      <c r="M21" s="91" t="s">
        <v>215</v>
      </c>
      <c r="N21" s="91" t="s">
        <v>215</v>
      </c>
      <c r="O21" s="91" t="s">
        <v>215</v>
      </c>
      <c r="P21" s="91" t="s">
        <v>215</v>
      </c>
      <c r="Q21" s="91" t="s">
        <v>215</v>
      </c>
      <c r="R21" s="91" t="s">
        <v>215</v>
      </c>
      <c r="S21" s="91" t="s">
        <v>215</v>
      </c>
      <c r="T21" s="80"/>
      <c r="U21" s="92" t="s">
        <v>215</v>
      </c>
      <c r="V21" s="80"/>
      <c r="W21" s="80"/>
      <c r="X21" s="92" t="s">
        <v>215</v>
      </c>
      <c r="Y21" s="92" t="s">
        <v>215</v>
      </c>
      <c r="Z21" s="92" t="s">
        <v>215</v>
      </c>
      <c r="AA21" s="80"/>
      <c r="AB21" s="80"/>
      <c r="AC21" s="31">
        <f>G21*F21*CIN</f>
        <v>16817.5</v>
      </c>
      <c r="AD21" s="31">
        <f>H21*F21*CEX</f>
        <v>8100.4</v>
      </c>
      <c r="AE21" s="93">
        <f>AD21+AC21</f>
        <v>24917.9</v>
      </c>
      <c r="AF21" s="93">
        <f t="shared" si="0"/>
        <v>490</v>
      </c>
      <c r="AG21"/>
      <c r="AH21"/>
      <c r="AI21" s="102" t="s">
        <v>162</v>
      </c>
      <c r="AJ21" s="103">
        <f>SUM(AC5:AC25)+AC26/2</f>
        <v>512933.75</v>
      </c>
      <c r="AK21" s="105">
        <f>SUM(AC27:AC31)+AC26/2</f>
        <v>198446.5</v>
      </c>
      <c r="AL21" s="103">
        <f>SUM(AJ21:AK21)</f>
        <v>711380.25</v>
      </c>
    </row>
    <row r="22" spans="1:38" ht="23.25">
      <c r="A22" s="30" t="s">
        <v>91</v>
      </c>
      <c r="B22" s="30" t="s">
        <v>83</v>
      </c>
      <c r="C22" s="30" t="s">
        <v>125</v>
      </c>
      <c r="D22" s="74" t="s">
        <v>137</v>
      </c>
      <c r="E22" s="73"/>
      <c r="F22" s="88"/>
      <c r="G22" s="89"/>
      <c r="H22" s="90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9"/>
      <c r="U22" s="79"/>
      <c r="V22" s="79"/>
      <c r="W22" s="79"/>
      <c r="X22" s="79"/>
      <c r="Y22" s="79"/>
      <c r="Z22" s="79"/>
      <c r="AA22" s="79"/>
      <c r="AB22" s="79"/>
      <c r="AC22" s="29"/>
      <c r="AD22" s="29"/>
      <c r="AE22" s="29"/>
      <c r="AF22" s="29"/>
      <c r="AG22"/>
      <c r="AH22"/>
      <c r="AI22" s="104" t="s">
        <v>163</v>
      </c>
      <c r="AJ22" s="106">
        <f>SUM(AD5:AD25)+AD26/2</f>
        <v>180233.89999999997</v>
      </c>
      <c r="AK22" s="105">
        <f>SUM(AD27:AD31)+AD26/2</f>
        <v>83434.12</v>
      </c>
      <c r="AL22" s="103">
        <f>SUM(AJ22:AK22)</f>
        <v>263668.01999999996</v>
      </c>
    </row>
    <row r="23" spans="1:38" ht="18.75">
      <c r="A23" s="26" t="s">
        <v>118</v>
      </c>
      <c r="B23" s="30"/>
      <c r="C23" s="26" t="s">
        <v>122</v>
      </c>
      <c r="D23" s="73"/>
      <c r="E23" s="73"/>
      <c r="F23" s="88"/>
      <c r="G23" s="89"/>
      <c r="H23" s="90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9"/>
      <c r="U23" s="79"/>
      <c r="V23" s="79"/>
      <c r="W23" s="79"/>
      <c r="X23" s="79"/>
      <c r="Y23" s="79"/>
      <c r="Z23" s="79"/>
      <c r="AA23" s="79"/>
      <c r="AB23" s="79"/>
      <c r="AC23" s="29"/>
      <c r="AD23" s="29"/>
      <c r="AE23" s="29"/>
      <c r="AF23" s="29"/>
      <c r="AG23"/>
      <c r="AH23"/>
      <c r="AI23" s="102" t="s">
        <v>164</v>
      </c>
      <c r="AJ23" s="103">
        <f>SUM(AJ21:AJ22)</f>
        <v>693167.64999999991</v>
      </c>
      <c r="AK23" s="103">
        <f>SUM(AK21:AK22)</f>
        <v>281880.62</v>
      </c>
      <c r="AL23" s="103">
        <f>SUM(AJ23:AK23)</f>
        <v>975048.2699999999</v>
      </c>
    </row>
    <row r="24" spans="1:38" ht="18">
      <c r="A24" s="30" t="s">
        <v>54</v>
      </c>
      <c r="B24" s="30" t="s">
        <v>85</v>
      </c>
      <c r="C24" s="30" t="s">
        <v>80</v>
      </c>
      <c r="D24" s="74" t="s">
        <v>138</v>
      </c>
      <c r="E24" s="74">
        <v>6</v>
      </c>
      <c r="F24" s="85">
        <v>30</v>
      </c>
      <c r="G24" s="86">
        <v>4</v>
      </c>
      <c r="H24" s="87">
        <v>1</v>
      </c>
      <c r="I24" s="83" t="s">
        <v>212</v>
      </c>
      <c r="J24" s="83" t="s">
        <v>212</v>
      </c>
      <c r="K24" s="77"/>
      <c r="L24" s="83" t="s">
        <v>212</v>
      </c>
      <c r="M24" s="83" t="s">
        <v>212</v>
      </c>
      <c r="N24" s="77"/>
      <c r="O24" s="77"/>
      <c r="P24" s="77"/>
      <c r="Q24" s="77"/>
      <c r="R24" s="77"/>
      <c r="S24" s="77"/>
      <c r="T24" s="80"/>
      <c r="U24" s="80"/>
      <c r="V24" s="80"/>
      <c r="W24" s="84" t="s">
        <v>212</v>
      </c>
      <c r="X24" s="80"/>
      <c r="Y24" s="80"/>
      <c r="Z24" s="80"/>
      <c r="AA24" s="80"/>
      <c r="AB24" s="80"/>
      <c r="AC24" s="31">
        <f>G24*F24*CIN</f>
        <v>40361.999999999993</v>
      </c>
      <c r="AD24" s="31">
        <f>H24*F24*CEX</f>
        <v>12150.599999999999</v>
      </c>
      <c r="AE24" s="93">
        <f>AD24+AC24</f>
        <v>52512.599999999991</v>
      </c>
      <c r="AF24" s="93">
        <f t="shared" si="0"/>
        <v>1050</v>
      </c>
      <c r="AG24"/>
      <c r="AH24"/>
      <c r="AI24"/>
      <c r="AJ24"/>
      <c r="AK24"/>
      <c r="AL24"/>
    </row>
    <row r="25" spans="1:38" ht="19.5">
      <c r="A25" s="30" t="s">
        <v>54</v>
      </c>
      <c r="B25" s="30" t="s">
        <v>87</v>
      </c>
      <c r="C25" s="30" t="s">
        <v>82</v>
      </c>
      <c r="D25" s="74" t="s">
        <v>83</v>
      </c>
      <c r="E25" s="74">
        <v>8</v>
      </c>
      <c r="F25" s="85">
        <f>E25*5</f>
        <v>40</v>
      </c>
      <c r="G25" s="86">
        <v>6</v>
      </c>
      <c r="H25" s="87">
        <v>0</v>
      </c>
      <c r="I25" s="77"/>
      <c r="J25" s="77"/>
      <c r="K25" s="77"/>
      <c r="L25" s="77"/>
      <c r="M25" s="77"/>
      <c r="N25" s="83" t="s">
        <v>212</v>
      </c>
      <c r="O25" s="83" t="s">
        <v>212</v>
      </c>
      <c r="P25" s="83" t="s">
        <v>212</v>
      </c>
      <c r="Q25" s="83" t="s">
        <v>212</v>
      </c>
      <c r="R25" s="83" t="s">
        <v>212</v>
      </c>
      <c r="S25" s="83" t="s">
        <v>212</v>
      </c>
      <c r="T25" s="80"/>
      <c r="U25" s="80"/>
      <c r="V25" s="80"/>
      <c r="W25" s="80"/>
      <c r="X25" s="80"/>
      <c r="Y25" s="80"/>
      <c r="Z25" s="80"/>
      <c r="AA25" s="80"/>
      <c r="AB25" s="80"/>
      <c r="AC25" s="31">
        <f>G25*F25*CIN</f>
        <v>80723.999999999985</v>
      </c>
      <c r="AD25" s="31">
        <f>H25*F25*CEX</f>
        <v>0</v>
      </c>
      <c r="AE25" s="93">
        <f>AD25+AC25</f>
        <v>80723.999999999985</v>
      </c>
      <c r="AF25" s="93">
        <f t="shared" si="0"/>
        <v>1680</v>
      </c>
      <c r="AG25" s="96">
        <f>SUM(AE5:AE25)</f>
        <v>618413.95000000007</v>
      </c>
      <c r="AH25"/>
      <c r="AI25"/>
      <c r="AJ25"/>
      <c r="AK25"/>
      <c r="AL25"/>
    </row>
    <row r="26" spans="1:38" ht="18">
      <c r="A26" s="30" t="s">
        <v>54</v>
      </c>
      <c r="B26" s="30" t="s">
        <v>89</v>
      </c>
      <c r="C26" s="30" t="s">
        <v>84</v>
      </c>
      <c r="D26" s="74" t="s">
        <v>85</v>
      </c>
      <c r="E26" s="74">
        <v>4</v>
      </c>
      <c r="F26" s="85">
        <v>60</v>
      </c>
      <c r="G26" s="86">
        <v>5</v>
      </c>
      <c r="H26" s="87">
        <v>2</v>
      </c>
      <c r="I26" s="83" t="s">
        <v>212</v>
      </c>
      <c r="J26" s="83" t="s">
        <v>212</v>
      </c>
      <c r="K26" s="83" t="s">
        <v>212</v>
      </c>
      <c r="L26" s="83" t="s">
        <v>212</v>
      </c>
      <c r="M26" s="83" t="s">
        <v>212</v>
      </c>
      <c r="N26" s="77"/>
      <c r="O26" s="77"/>
      <c r="P26" s="77"/>
      <c r="Q26" s="77"/>
      <c r="R26" s="77"/>
      <c r="S26" s="77"/>
      <c r="T26" s="92" t="s">
        <v>215</v>
      </c>
      <c r="U26" s="80"/>
      <c r="V26" s="80"/>
      <c r="W26" s="92" t="s">
        <v>215</v>
      </c>
      <c r="X26" s="80"/>
      <c r="Y26" s="80"/>
      <c r="Z26" s="80"/>
      <c r="AA26" s="92" t="s">
        <v>215</v>
      </c>
      <c r="AB26" s="92" t="s">
        <v>215</v>
      </c>
      <c r="AC26" s="31">
        <f>G26*F26*CIN</f>
        <v>100904.99999999999</v>
      </c>
      <c r="AD26" s="31">
        <f>H26*F26*CEX</f>
        <v>48602.399999999994</v>
      </c>
      <c r="AE26" s="93">
        <f>AD26+AC26</f>
        <v>149507.39999999997</v>
      </c>
      <c r="AF26" s="93">
        <f t="shared" si="0"/>
        <v>2940</v>
      </c>
      <c r="AG26">
        <f>AE26/2</f>
        <v>74753.699999999983</v>
      </c>
      <c r="AH26">
        <f>AG26</f>
        <v>74753.699999999983</v>
      </c>
      <c r="AI26"/>
      <c r="AJ26"/>
      <c r="AK26"/>
      <c r="AL26"/>
    </row>
    <row r="27" spans="1:38" ht="18">
      <c r="A27" s="30" t="s">
        <v>54</v>
      </c>
      <c r="B27" s="30" t="s">
        <v>92</v>
      </c>
      <c r="C27" s="30" t="s">
        <v>86</v>
      </c>
      <c r="D27" s="74" t="s">
        <v>139</v>
      </c>
      <c r="E27" s="74">
        <v>2</v>
      </c>
      <c r="F27" s="85">
        <v>9</v>
      </c>
      <c r="G27" s="86">
        <v>4</v>
      </c>
      <c r="H27" s="87">
        <v>2</v>
      </c>
      <c r="I27" s="83" t="s">
        <v>212</v>
      </c>
      <c r="J27" s="83" t="s">
        <v>212</v>
      </c>
      <c r="K27" s="77"/>
      <c r="L27" s="83" t="s">
        <v>212</v>
      </c>
      <c r="M27" s="77"/>
      <c r="N27" s="83" t="s">
        <v>212</v>
      </c>
      <c r="O27" s="77"/>
      <c r="P27" s="77"/>
      <c r="Q27" s="77"/>
      <c r="R27" s="77"/>
      <c r="S27" s="77"/>
      <c r="T27" s="84" t="s">
        <v>212</v>
      </c>
      <c r="U27" s="84" t="s">
        <v>212</v>
      </c>
      <c r="V27" s="80"/>
      <c r="W27" s="80"/>
      <c r="X27" s="80"/>
      <c r="Y27" s="80"/>
      <c r="Z27" s="80"/>
      <c r="AA27" s="80"/>
      <c r="AB27" s="80"/>
      <c r="AC27" s="31">
        <f>G27*F27*CIN</f>
        <v>12108.599999999999</v>
      </c>
      <c r="AD27" s="31">
        <f>H27*F27*CEX</f>
        <v>7290.36</v>
      </c>
      <c r="AE27" s="93">
        <f>AD27+AC27</f>
        <v>19398.96</v>
      </c>
      <c r="AF27" s="93">
        <f t="shared" si="0"/>
        <v>378</v>
      </c>
      <c r="AG27"/>
      <c r="AH27"/>
      <c r="AI27"/>
      <c r="AJ27"/>
      <c r="AK27"/>
      <c r="AL27"/>
    </row>
    <row r="28" spans="1:38">
      <c r="A28" s="30" t="s">
        <v>91</v>
      </c>
      <c r="B28" s="30" t="s">
        <v>131</v>
      </c>
      <c r="C28" s="30" t="s">
        <v>124</v>
      </c>
      <c r="D28" s="74" t="s">
        <v>92</v>
      </c>
      <c r="E28" s="73"/>
      <c r="F28" s="88"/>
      <c r="G28" s="89"/>
      <c r="H28" s="90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9"/>
      <c r="U28" s="79"/>
      <c r="V28" s="79"/>
      <c r="W28" s="79"/>
      <c r="X28" s="79"/>
      <c r="Y28" s="79"/>
      <c r="Z28" s="79"/>
      <c r="AA28" s="79"/>
      <c r="AB28" s="79"/>
      <c r="AC28" s="29"/>
      <c r="AD28" s="29"/>
      <c r="AE28" s="29"/>
      <c r="AF28" s="29"/>
      <c r="AG28"/>
      <c r="AH28"/>
      <c r="AI28"/>
      <c r="AJ28"/>
      <c r="AK28"/>
      <c r="AL28"/>
    </row>
    <row r="29" spans="1:38" ht="18.75">
      <c r="A29" s="26" t="s">
        <v>118</v>
      </c>
      <c r="B29" s="30"/>
      <c r="C29" s="26" t="s">
        <v>123</v>
      </c>
      <c r="D29" s="73"/>
      <c r="E29" s="73"/>
      <c r="F29" s="88"/>
      <c r="G29" s="89"/>
      <c r="H29" s="90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9"/>
      <c r="U29" s="79"/>
      <c r="V29" s="79"/>
      <c r="W29" s="79"/>
      <c r="X29" s="79"/>
      <c r="Y29" s="79"/>
      <c r="Z29" s="79"/>
      <c r="AA29" s="79"/>
      <c r="AB29" s="79"/>
      <c r="AC29" s="29"/>
      <c r="AD29" s="29"/>
      <c r="AE29" s="29"/>
      <c r="AF29" s="29"/>
      <c r="AG29"/>
      <c r="AH29"/>
      <c r="AI29"/>
      <c r="AJ29"/>
      <c r="AK29"/>
      <c r="AL29"/>
    </row>
    <row r="30" spans="1:38" ht="19.5">
      <c r="A30" s="30" t="s">
        <v>54</v>
      </c>
      <c r="B30" s="30" t="s">
        <v>132</v>
      </c>
      <c r="C30" s="30" t="s">
        <v>88</v>
      </c>
      <c r="D30" s="74" t="s">
        <v>131</v>
      </c>
      <c r="E30" s="74">
        <v>24</v>
      </c>
      <c r="F30" s="85">
        <v>118</v>
      </c>
      <c r="G30" s="86">
        <v>3</v>
      </c>
      <c r="H30" s="87">
        <v>1</v>
      </c>
      <c r="I30" s="83" t="s">
        <v>212</v>
      </c>
      <c r="J30" s="77"/>
      <c r="K30" s="77"/>
      <c r="L30" s="77"/>
      <c r="M30" s="77"/>
      <c r="N30" s="83" t="s">
        <v>212</v>
      </c>
      <c r="O30" s="91" t="s">
        <v>214</v>
      </c>
      <c r="P30" s="91" t="s">
        <v>214</v>
      </c>
      <c r="Q30" s="91" t="s">
        <v>214</v>
      </c>
      <c r="R30" s="91" t="s">
        <v>214</v>
      </c>
      <c r="S30" s="91" t="s">
        <v>214</v>
      </c>
      <c r="T30" s="84"/>
      <c r="U30" s="80"/>
      <c r="V30" s="80"/>
      <c r="W30" s="80"/>
      <c r="X30" s="92" t="s">
        <v>215</v>
      </c>
      <c r="Y30" s="80"/>
      <c r="Z30" s="80"/>
      <c r="AA30" s="92" t="s">
        <v>215</v>
      </c>
      <c r="AB30" s="80"/>
      <c r="AC30" s="31">
        <f>G30*F30*CIN</f>
        <v>119067.9</v>
      </c>
      <c r="AD30" s="31">
        <f>H30*F30*CEX</f>
        <v>47792.36</v>
      </c>
      <c r="AE30" s="93">
        <f>AD30+AC30</f>
        <v>166860.26</v>
      </c>
      <c r="AF30" s="93">
        <f t="shared" si="0"/>
        <v>3304</v>
      </c>
    </row>
    <row r="31" spans="1:38" ht="18">
      <c r="A31" s="30" t="s">
        <v>54</v>
      </c>
      <c r="B31" s="30" t="s">
        <v>133</v>
      </c>
      <c r="C31" s="30" t="s">
        <v>90</v>
      </c>
      <c r="D31" s="74" t="s">
        <v>132</v>
      </c>
      <c r="E31" s="74">
        <v>2</v>
      </c>
      <c r="F31" s="85">
        <f>E31*5</f>
        <v>10</v>
      </c>
      <c r="G31" s="86">
        <v>5</v>
      </c>
      <c r="H31" s="87">
        <v>1</v>
      </c>
      <c r="I31" s="83" t="s">
        <v>212</v>
      </c>
      <c r="J31" s="83" t="s">
        <v>212</v>
      </c>
      <c r="K31" s="77"/>
      <c r="L31" s="83" t="s">
        <v>212</v>
      </c>
      <c r="M31" s="83" t="s">
        <v>212</v>
      </c>
      <c r="N31" s="83" t="s">
        <v>212</v>
      </c>
      <c r="O31" s="77"/>
      <c r="P31" s="77"/>
      <c r="Q31" s="77"/>
      <c r="R31" s="77"/>
      <c r="S31" s="77"/>
      <c r="T31" s="92" t="s">
        <v>215</v>
      </c>
      <c r="U31" s="92" t="s">
        <v>215</v>
      </c>
      <c r="V31" s="80"/>
      <c r="W31" s="80"/>
      <c r="X31" s="80"/>
      <c r="Y31" s="80"/>
      <c r="Z31" s="80"/>
      <c r="AA31" s="80"/>
      <c r="AB31" s="80"/>
      <c r="AC31" s="31">
        <f>G31*F31*CIN</f>
        <v>16817.5</v>
      </c>
      <c r="AD31" s="31">
        <f>H31*F31*CEX</f>
        <v>4050.2</v>
      </c>
      <c r="AE31" s="93">
        <f>AD31+AC31</f>
        <v>20867.7</v>
      </c>
      <c r="AF31" s="93">
        <f t="shared" si="0"/>
        <v>420</v>
      </c>
      <c r="AG31" s="97">
        <f>SUM(AE27:AE31)</f>
        <v>207126.92</v>
      </c>
    </row>
    <row r="32" spans="1:38">
      <c r="A32" s="30" t="s">
        <v>91</v>
      </c>
      <c r="B32" s="30" t="s">
        <v>140</v>
      </c>
      <c r="C32" s="30" t="s">
        <v>93</v>
      </c>
      <c r="D32" s="74" t="s">
        <v>133</v>
      </c>
      <c r="E32" s="73"/>
      <c r="F32" s="88"/>
      <c r="G32" s="89"/>
      <c r="H32" s="90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9"/>
      <c r="U32" s="79"/>
      <c r="V32" s="79"/>
      <c r="W32" s="79"/>
      <c r="X32" s="79"/>
      <c r="Y32" s="79"/>
      <c r="Z32" s="79"/>
      <c r="AA32" s="79"/>
      <c r="AB32" s="79"/>
      <c r="AC32" s="29"/>
      <c r="AD32" s="29"/>
      <c r="AE32" s="29"/>
      <c r="AF32" s="29"/>
    </row>
    <row r="33" spans="1:34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1">
        <f>SUM(AC5:AC31)</f>
        <v>711380.25</v>
      </c>
      <c r="AD33" s="31">
        <f>SUM(AD5:AD31)</f>
        <v>263668.01999999996</v>
      </c>
      <c r="AE33" s="93">
        <f>AD33+AC33</f>
        <v>975048.27</v>
      </c>
      <c r="AF33" s="93">
        <f>SUM(AF5:AF31)</f>
        <v>19362</v>
      </c>
      <c r="AG33" s="97">
        <f>AG25+AG26+AH26+AG31</f>
        <v>975048.27</v>
      </c>
    </row>
    <row r="34" spans="1:34" hidden="1"/>
    <row r="35" spans="1:34" hidden="1">
      <c r="F35" s="24" t="s">
        <v>141</v>
      </c>
      <c r="G35" s="24">
        <f>K35</f>
        <v>336.34999999999997</v>
      </c>
      <c r="I35" s="24">
        <v>48.05</v>
      </c>
      <c r="K35" s="24">
        <f>I35*7</f>
        <v>336.34999999999997</v>
      </c>
      <c r="O35" s="24">
        <f>118*7</f>
        <v>826</v>
      </c>
      <c r="P35" s="95">
        <f>O35/2</f>
        <v>413</v>
      </c>
      <c r="Q35" s="95">
        <f>O35/5</f>
        <v>165.2</v>
      </c>
      <c r="AC35" s="25">
        <f>SUM(AC5:AC28)</f>
        <v>575494.85</v>
      </c>
      <c r="AD35" s="25">
        <f>SUM(AD5:AD28)</f>
        <v>211825.45999999996</v>
      </c>
    </row>
    <row r="36" spans="1:34" hidden="1">
      <c r="F36" s="24" t="s">
        <v>142</v>
      </c>
      <c r="G36" s="24">
        <f>K36</f>
        <v>405.02</v>
      </c>
      <c r="I36" s="24">
        <v>57.86</v>
      </c>
      <c r="K36" s="24">
        <f>I36*7</f>
        <v>405.02</v>
      </c>
      <c r="AC36" s="25">
        <f>SUM(AC30:AC31)</f>
        <v>135885.4</v>
      </c>
      <c r="AD36" s="25">
        <f>SUM(AD30:AD31)</f>
        <v>51842.559999999998</v>
      </c>
    </row>
    <row r="37" spans="1:34" hidden="1">
      <c r="AC37" s="25">
        <f>AC35+AC36</f>
        <v>711380.25</v>
      </c>
      <c r="AD37" s="25">
        <f>AD35+AD36</f>
        <v>263668.01999999996</v>
      </c>
    </row>
    <row r="38" spans="1:34" hidden="1">
      <c r="AC38" s="25"/>
      <c r="AD38" s="25"/>
    </row>
    <row r="39" spans="1:34" hidden="1">
      <c r="I39" s="24">
        <v>9</v>
      </c>
      <c r="J39" s="24">
        <v>7</v>
      </c>
      <c r="K39" s="24">
        <f>I39*J39</f>
        <v>63</v>
      </c>
      <c r="L39" s="24">
        <f>K39/2</f>
        <v>31.5</v>
      </c>
      <c r="AC39" s="25">
        <v>728227.27272727271</v>
      </c>
      <c r="AD39" s="25">
        <v>263655</v>
      </c>
    </row>
    <row r="40" spans="1:34" hidden="1"/>
    <row r="41" spans="1:34" hidden="1">
      <c r="C41" s="23" t="s">
        <v>161</v>
      </c>
    </row>
    <row r="42" spans="1:34">
      <c r="AG42" s="100">
        <f>AH46+AH47</f>
        <v>975048</v>
      </c>
    </row>
    <row r="45" spans="1:34" ht="15.75">
      <c r="AE45" s="98" t="s">
        <v>160</v>
      </c>
      <c r="AF45"/>
      <c r="AH45" s="99">
        <v>654500</v>
      </c>
    </row>
    <row r="46" spans="1:34" ht="15.75">
      <c r="AE46" s="98" t="s">
        <v>145</v>
      </c>
      <c r="AF46"/>
      <c r="AH46" s="99">
        <v>711380</v>
      </c>
    </row>
    <row r="47" spans="1:34" ht="15.75">
      <c r="U47"/>
      <c r="AE47" s="98" t="s">
        <v>146</v>
      </c>
      <c r="AF47"/>
      <c r="AH47" s="99">
        <v>263668</v>
      </c>
    </row>
    <row r="48" spans="1:34" ht="15.75">
      <c r="AE48" s="98" t="s">
        <v>21</v>
      </c>
      <c r="AF48"/>
      <c r="AH48" s="99">
        <v>28000</v>
      </c>
    </row>
    <row r="49" spans="21:34" ht="15.75">
      <c r="U49"/>
      <c r="AE49" s="98" t="s">
        <v>22</v>
      </c>
      <c r="AF49" s="24"/>
      <c r="AH49" s="99">
        <v>28000</v>
      </c>
    </row>
    <row r="50" spans="21:34" ht="15.75">
      <c r="U50"/>
      <c r="AE50" s="98" t="s">
        <v>219</v>
      </c>
      <c r="AF50" s="24"/>
      <c r="AH50" s="99">
        <v>80727</v>
      </c>
    </row>
    <row r="51" spans="21:34">
      <c r="U51"/>
      <c r="AH51" s="100">
        <f>SUM(AH45:AH50)</f>
        <v>1766275</v>
      </c>
    </row>
    <row r="52" spans="21:34">
      <c r="U52"/>
    </row>
  </sheetData>
  <phoneticPr fontId="4" type="noConversion"/>
  <pageMargins left="0.25" right="0.32" top="0.984251969" bottom="0.984251969" header="0.4921259845" footer="0.4921259845"/>
  <pageSetup paperSize="9" scale="81" fitToWidth="2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9"/>
  <sheetViews>
    <sheetView topLeftCell="F19" workbookViewId="0">
      <selection activeCell="J28" sqref="J28"/>
    </sheetView>
  </sheetViews>
  <sheetFormatPr baseColWidth="10" defaultColWidth="11.5703125" defaultRowHeight="9"/>
  <cols>
    <col min="1" max="1" width="11.5703125" style="33" hidden="1" customWidth="1"/>
    <col min="2" max="2" width="43" style="33" hidden="1" customWidth="1"/>
    <col min="3" max="3" width="22.85546875" style="33" hidden="1" customWidth="1"/>
    <col min="4" max="4" width="10.7109375" style="33" hidden="1" customWidth="1"/>
    <col min="5" max="5" width="11.5703125" style="33" hidden="1" customWidth="1"/>
    <col min="6" max="6" width="32" style="33" bestFit="1" customWidth="1"/>
    <col min="7" max="7" width="21.140625" style="32" customWidth="1"/>
    <col min="8" max="13" width="12.42578125" style="33" bestFit="1" customWidth="1"/>
    <col min="14" max="16384" width="11.5703125" style="33"/>
  </cols>
  <sheetData>
    <row r="1" spans="1:14" ht="18.75" thickBot="1">
      <c r="A1" s="46"/>
      <c r="B1" s="46"/>
      <c r="C1" s="46"/>
      <c r="D1" s="46"/>
      <c r="E1" s="46"/>
      <c r="F1" s="46"/>
      <c r="G1" s="47"/>
      <c r="H1" s="46"/>
      <c r="I1" s="46"/>
      <c r="J1" s="46"/>
      <c r="K1" s="46"/>
      <c r="L1" s="46"/>
      <c r="M1" s="46"/>
      <c r="N1" s="46"/>
    </row>
    <row r="2" spans="1:14" ht="18.75" thickBot="1">
      <c r="A2" s="46"/>
      <c r="B2" s="46"/>
      <c r="C2" s="46"/>
      <c r="D2" s="46"/>
      <c r="E2" s="46"/>
      <c r="F2" s="46"/>
      <c r="G2" s="47"/>
      <c r="H2" s="48" t="s">
        <v>0</v>
      </c>
      <c r="I2" s="48" t="s">
        <v>3</v>
      </c>
      <c r="J2" s="48" t="s">
        <v>4</v>
      </c>
      <c r="K2" s="48" t="s">
        <v>5</v>
      </c>
      <c r="L2" s="48" t="s">
        <v>16</v>
      </c>
      <c r="M2" s="48" t="s">
        <v>17</v>
      </c>
      <c r="N2" s="46"/>
    </row>
    <row r="3" spans="1:14" ht="18.75" thickBot="1">
      <c r="A3" s="46"/>
      <c r="B3" s="46"/>
      <c r="C3" s="46"/>
      <c r="D3" s="46"/>
      <c r="E3" s="46"/>
      <c r="F3" s="49" t="s">
        <v>112</v>
      </c>
      <c r="G3" s="50"/>
      <c r="H3" s="46"/>
      <c r="I3" s="46"/>
      <c r="J3" s="46"/>
      <c r="K3" s="46"/>
      <c r="L3" s="46"/>
      <c r="M3" s="46"/>
      <c r="N3" s="46"/>
    </row>
    <row r="4" spans="1:14" ht="18.75" thickBot="1">
      <c r="A4" s="46"/>
      <c r="B4" s="46" t="s">
        <v>160</v>
      </c>
      <c r="C4" s="51">
        <f>H16</f>
        <v>654500</v>
      </c>
      <c r="D4" s="46"/>
      <c r="E4" s="46"/>
      <c r="F4" s="49" t="s">
        <v>7</v>
      </c>
      <c r="G4" s="50"/>
      <c r="H4" s="46"/>
      <c r="I4" s="46"/>
      <c r="J4" s="46"/>
      <c r="K4" s="46"/>
      <c r="L4" s="46"/>
      <c r="M4" s="46"/>
      <c r="N4" s="46"/>
    </row>
    <row r="5" spans="1:14" ht="18">
      <c r="A5" s="46"/>
      <c r="B5" s="46" t="s">
        <v>145</v>
      </c>
      <c r="C5" s="51">
        <f>I27+J27</f>
        <v>733273</v>
      </c>
      <c r="D5" s="46"/>
      <c r="E5" s="46"/>
      <c r="F5" s="46"/>
      <c r="G5" s="52" t="s">
        <v>9</v>
      </c>
      <c r="H5" s="53">
        <v>125000</v>
      </c>
      <c r="I5" s="54"/>
      <c r="J5" s="55"/>
      <c r="K5" s="55"/>
      <c r="L5" s="55"/>
      <c r="M5" s="55"/>
      <c r="N5" s="46"/>
    </row>
    <row r="6" spans="1:14" ht="18">
      <c r="A6" s="46"/>
      <c r="B6" s="46" t="s">
        <v>146</v>
      </c>
      <c r="C6" s="51">
        <f>I19+J19</f>
        <v>265680</v>
      </c>
      <c r="D6" s="51">
        <f>C6+C5</f>
        <v>998953</v>
      </c>
      <c r="E6" s="46"/>
      <c r="F6" s="46"/>
      <c r="G6" s="56" t="s">
        <v>10</v>
      </c>
      <c r="H6" s="53">
        <v>125000</v>
      </c>
      <c r="I6" s="54"/>
      <c r="J6" s="55"/>
      <c r="K6" s="55"/>
      <c r="L6" s="55"/>
      <c r="M6" s="55"/>
      <c r="N6" s="46"/>
    </row>
    <row r="7" spans="1:14" ht="18">
      <c r="A7" s="46"/>
      <c r="B7" s="57" t="s">
        <v>147</v>
      </c>
      <c r="C7" s="46"/>
      <c r="D7" s="46"/>
      <c r="E7" s="46"/>
      <c r="F7" s="46"/>
      <c r="G7" s="56" t="s">
        <v>25</v>
      </c>
      <c r="H7" s="53">
        <v>50000</v>
      </c>
      <c r="I7" s="54"/>
      <c r="J7" s="55"/>
      <c r="K7" s="55"/>
      <c r="L7" s="55"/>
      <c r="M7" s="55"/>
      <c r="N7" s="46"/>
    </row>
    <row r="8" spans="1:14" ht="18">
      <c r="A8" s="46"/>
      <c r="B8" s="46" t="s">
        <v>21</v>
      </c>
      <c r="C8" s="51">
        <f>I20</f>
        <v>20000</v>
      </c>
      <c r="D8" s="46"/>
      <c r="E8" s="46"/>
      <c r="F8" s="46"/>
      <c r="G8" s="56" t="s">
        <v>11</v>
      </c>
      <c r="H8" s="58"/>
      <c r="I8" s="54"/>
      <c r="J8" s="55"/>
      <c r="K8" s="55"/>
      <c r="L8" s="58">
        <v>32000</v>
      </c>
      <c r="M8" s="58">
        <v>32000</v>
      </c>
      <c r="N8" s="46"/>
    </row>
    <row r="9" spans="1:14" ht="36">
      <c r="A9" s="46"/>
      <c r="B9" s="46" t="s">
        <v>22</v>
      </c>
      <c r="C9" s="51">
        <f>I21</f>
        <v>20000</v>
      </c>
      <c r="D9" s="46"/>
      <c r="E9" s="46"/>
      <c r="F9" s="46"/>
      <c r="G9" s="56" t="s">
        <v>27</v>
      </c>
      <c r="H9" s="58"/>
      <c r="I9" s="59">
        <v>3200</v>
      </c>
      <c r="J9" s="58">
        <v>3200</v>
      </c>
      <c r="K9" s="58">
        <v>3200</v>
      </c>
      <c r="L9" s="58">
        <v>3200</v>
      </c>
      <c r="M9" s="58">
        <v>3200</v>
      </c>
      <c r="N9" s="46"/>
    </row>
    <row r="10" spans="1:14" ht="18.75" thickBot="1">
      <c r="A10" s="46"/>
      <c r="B10" s="46" t="s">
        <v>98</v>
      </c>
      <c r="C10" s="51">
        <f>I28</f>
        <v>80727</v>
      </c>
      <c r="D10" s="51">
        <f>SUM(C8:C10)</f>
        <v>120727</v>
      </c>
      <c r="E10" s="46"/>
      <c r="F10" s="46"/>
      <c r="G10" s="60" t="s">
        <v>38</v>
      </c>
      <c r="H10" s="53">
        <f t="shared" ref="H10:M10" si="0">SUM(H5:H9)</f>
        <v>300000</v>
      </c>
      <c r="I10" s="59">
        <f t="shared" si="0"/>
        <v>3200</v>
      </c>
      <c r="J10" s="58">
        <f t="shared" si="0"/>
        <v>3200</v>
      </c>
      <c r="K10" s="58">
        <f t="shared" si="0"/>
        <v>3200</v>
      </c>
      <c r="L10" s="58">
        <f t="shared" si="0"/>
        <v>35200</v>
      </c>
      <c r="M10" s="58">
        <f t="shared" si="0"/>
        <v>35200</v>
      </c>
      <c r="N10" s="46"/>
    </row>
    <row r="11" spans="1:14" ht="18.75" thickBot="1">
      <c r="A11" s="46"/>
      <c r="B11" s="46"/>
      <c r="C11" s="46"/>
      <c r="D11" s="46"/>
      <c r="E11" s="46"/>
      <c r="F11" s="49" t="s">
        <v>8</v>
      </c>
      <c r="G11" s="61"/>
      <c r="H11" s="62"/>
      <c r="I11" s="46"/>
      <c r="J11" s="46"/>
      <c r="K11" s="46"/>
      <c r="L11" s="46"/>
      <c r="M11" s="46"/>
      <c r="N11" s="46"/>
    </row>
    <row r="12" spans="1:14" ht="54">
      <c r="A12" s="46"/>
      <c r="B12" s="46"/>
      <c r="C12" s="46"/>
      <c r="D12" s="46"/>
      <c r="E12" s="46"/>
      <c r="F12" s="46"/>
      <c r="G12" s="52" t="s">
        <v>12</v>
      </c>
      <c r="H12" s="53">
        <v>337500</v>
      </c>
      <c r="I12" s="54"/>
      <c r="J12" s="55"/>
      <c r="K12" s="55"/>
      <c r="L12" s="55"/>
      <c r="M12" s="55"/>
      <c r="N12" s="46"/>
    </row>
    <row r="13" spans="1:14" ht="18">
      <c r="A13" s="46"/>
      <c r="B13" s="46"/>
      <c r="C13" s="51">
        <f>SUM(C4:C12)</f>
        <v>1774180</v>
      </c>
      <c r="D13" s="46"/>
      <c r="E13" s="46"/>
      <c r="F13" s="46"/>
      <c r="G13" s="56" t="s">
        <v>24</v>
      </c>
      <c r="H13" s="53">
        <v>17000</v>
      </c>
      <c r="I13" s="54"/>
      <c r="J13" s="55"/>
      <c r="K13" s="55"/>
      <c r="L13" s="55"/>
      <c r="M13" s="55"/>
      <c r="N13" s="46"/>
    </row>
    <row r="14" spans="1:14" ht="18">
      <c r="A14" s="46"/>
      <c r="B14" s="46"/>
      <c r="C14" s="46"/>
      <c r="D14" s="46"/>
      <c r="E14" s="46"/>
      <c r="F14" s="46"/>
      <c r="G14" s="56" t="s">
        <v>11</v>
      </c>
      <c r="H14" s="58"/>
      <c r="I14" s="54"/>
      <c r="J14" s="55"/>
      <c r="K14" s="55"/>
      <c r="L14" s="58">
        <v>60000</v>
      </c>
      <c r="M14" s="58">
        <v>60000</v>
      </c>
      <c r="N14" s="46"/>
    </row>
    <row r="15" spans="1:14" ht="18">
      <c r="A15" s="46"/>
      <c r="B15" s="46"/>
      <c r="C15" s="51">
        <f>H16+I19+J19+I20+I21+I27+J27+I28</f>
        <v>1774180</v>
      </c>
      <c r="D15" s="46"/>
      <c r="E15" s="46"/>
      <c r="F15" s="46"/>
      <c r="G15" s="63" t="s">
        <v>39</v>
      </c>
      <c r="H15" s="53">
        <f t="shared" ref="H15:M15" si="1">SUM(H12:H14)</f>
        <v>354500</v>
      </c>
      <c r="I15" s="59">
        <f t="shared" si="1"/>
        <v>0</v>
      </c>
      <c r="J15" s="58">
        <f t="shared" si="1"/>
        <v>0</v>
      </c>
      <c r="K15" s="58">
        <f t="shared" si="1"/>
        <v>0</v>
      </c>
      <c r="L15" s="58">
        <f t="shared" si="1"/>
        <v>60000</v>
      </c>
      <c r="M15" s="58">
        <f t="shared" si="1"/>
        <v>60000</v>
      </c>
      <c r="N15" s="46"/>
    </row>
    <row r="16" spans="1:14" ht="36">
      <c r="A16" s="46"/>
      <c r="B16" s="46"/>
      <c r="C16" s="46"/>
      <c r="D16" s="46"/>
      <c r="E16" s="46"/>
      <c r="F16" s="46"/>
      <c r="G16" s="63" t="s">
        <v>26</v>
      </c>
      <c r="H16" s="53">
        <f t="shared" ref="H16:M16" si="2">H15+H10</f>
        <v>654500</v>
      </c>
      <c r="I16" s="64">
        <f t="shared" si="2"/>
        <v>3200</v>
      </c>
      <c r="J16" s="53">
        <f t="shared" si="2"/>
        <v>3200</v>
      </c>
      <c r="K16" s="53">
        <f t="shared" si="2"/>
        <v>3200</v>
      </c>
      <c r="L16" s="53">
        <f t="shared" si="2"/>
        <v>95200</v>
      </c>
      <c r="M16" s="53">
        <f t="shared" si="2"/>
        <v>95200</v>
      </c>
      <c r="N16" s="46"/>
    </row>
    <row r="17" spans="1:14" ht="18.75" thickBot="1">
      <c r="A17" s="46"/>
      <c r="B17" s="46"/>
      <c r="C17" s="46"/>
      <c r="D17" s="46"/>
      <c r="E17" s="46"/>
      <c r="F17" s="46"/>
      <c r="G17" s="47"/>
      <c r="H17" s="46"/>
      <c r="I17" s="46"/>
      <c r="J17" s="46"/>
      <c r="K17" s="46"/>
      <c r="L17" s="46"/>
      <c r="M17" s="46"/>
      <c r="N17" s="46"/>
    </row>
    <row r="18" spans="1:14" ht="18.75" thickBot="1">
      <c r="A18" s="46"/>
      <c r="B18" s="46"/>
      <c r="C18" s="46"/>
      <c r="D18" s="46"/>
      <c r="E18" s="46"/>
      <c r="F18" s="49" t="s">
        <v>6</v>
      </c>
      <c r="G18" s="50"/>
      <c r="H18" s="46"/>
      <c r="I18" s="46"/>
      <c r="J18" s="46"/>
      <c r="K18" s="46"/>
      <c r="L18" s="46"/>
      <c r="M18" s="46"/>
      <c r="N18" s="46"/>
    </row>
    <row r="19" spans="1:14" ht="54">
      <c r="A19" s="46"/>
      <c r="B19" s="46"/>
      <c r="C19" s="46"/>
      <c r="D19" s="46"/>
      <c r="E19" s="46"/>
      <c r="F19" s="46"/>
      <c r="G19" s="65" t="s">
        <v>115</v>
      </c>
      <c r="H19" s="58"/>
      <c r="I19" s="53">
        <v>213840</v>
      </c>
      <c r="J19" s="53">
        <v>51840</v>
      </c>
      <c r="K19" s="55"/>
      <c r="L19" s="55"/>
      <c r="M19" s="55"/>
      <c r="N19" s="46"/>
    </row>
    <row r="20" spans="1:14" ht="36">
      <c r="A20" s="46"/>
      <c r="B20" s="46" t="s">
        <v>156</v>
      </c>
      <c r="C20" s="46">
        <f>H10/C13</f>
        <v>0.16909220034043895</v>
      </c>
      <c r="D20" s="46"/>
      <c r="E20" s="46"/>
      <c r="F20" s="46"/>
      <c r="G20" s="66" t="s">
        <v>21</v>
      </c>
      <c r="H20" s="58"/>
      <c r="I20" s="53">
        <v>20000</v>
      </c>
      <c r="J20" s="55"/>
      <c r="K20" s="55"/>
      <c r="L20" s="55"/>
      <c r="M20" s="55"/>
      <c r="N20" s="46"/>
    </row>
    <row r="21" spans="1:14" ht="54">
      <c r="A21" s="46"/>
      <c r="B21" s="46" t="s">
        <v>157</v>
      </c>
      <c r="C21" s="46">
        <f>H15/C13</f>
        <v>0.1998106167356187</v>
      </c>
      <c r="D21" s="46"/>
      <c r="E21" s="46"/>
      <c r="F21" s="46"/>
      <c r="G21" s="66" t="s">
        <v>22</v>
      </c>
      <c r="H21" s="58"/>
      <c r="I21" s="53">
        <v>20000</v>
      </c>
      <c r="J21" s="55"/>
      <c r="K21" s="55"/>
      <c r="L21" s="55"/>
      <c r="M21" s="55"/>
      <c r="N21" s="46"/>
    </row>
    <row r="22" spans="1:14" ht="18">
      <c r="A22" s="46"/>
      <c r="B22" s="46" t="s">
        <v>158</v>
      </c>
      <c r="C22" s="46">
        <f>C13/135</f>
        <v>13142.074074074075</v>
      </c>
      <c r="D22" s="46"/>
      <c r="E22" s="46"/>
      <c r="F22" s="46"/>
      <c r="G22" s="66" t="s">
        <v>13</v>
      </c>
      <c r="H22" s="58"/>
      <c r="I22" s="55"/>
      <c r="J22" s="58">
        <v>20000</v>
      </c>
      <c r="K22" s="58">
        <v>20000</v>
      </c>
      <c r="L22" s="58">
        <v>20000</v>
      </c>
      <c r="M22" s="58">
        <v>20000</v>
      </c>
      <c r="N22" s="46"/>
    </row>
    <row r="23" spans="1:14" ht="54">
      <c r="A23" s="46"/>
      <c r="B23" s="46"/>
      <c r="C23" s="46"/>
      <c r="D23" s="46"/>
      <c r="E23" s="46"/>
      <c r="F23" s="46"/>
      <c r="G23" s="67" t="s">
        <v>14</v>
      </c>
      <c r="H23" s="53"/>
      <c r="I23" s="53">
        <f>SUM(I19:I22)</f>
        <v>253840</v>
      </c>
      <c r="J23" s="53">
        <f>SUM(J19:J22)</f>
        <v>71840</v>
      </c>
      <c r="K23" s="53">
        <f>SUM(K19:K22)</f>
        <v>20000</v>
      </c>
      <c r="L23" s="53">
        <f>SUM(L19:L22)</f>
        <v>20000</v>
      </c>
      <c r="M23" s="53">
        <f>SUM(M19:M22)</f>
        <v>20000</v>
      </c>
      <c r="N23" s="46"/>
    </row>
    <row r="24" spans="1:14" ht="18.75" thickBot="1">
      <c r="A24" s="46"/>
      <c r="B24" s="46"/>
      <c r="C24" s="46"/>
      <c r="D24" s="46"/>
      <c r="E24" s="46"/>
      <c r="F24" s="46"/>
      <c r="G24" s="47"/>
      <c r="H24" s="46"/>
      <c r="I24" s="46"/>
      <c r="J24" s="46"/>
      <c r="K24" s="46"/>
      <c r="L24" s="46"/>
      <c r="M24" s="46"/>
      <c r="N24" s="46"/>
    </row>
    <row r="25" spans="1:14" ht="18.75" thickBot="1">
      <c r="A25" s="46"/>
      <c r="B25" s="46"/>
      <c r="C25" s="46"/>
      <c r="D25" s="46"/>
      <c r="E25" s="46"/>
      <c r="F25" s="49" t="s">
        <v>20</v>
      </c>
      <c r="G25" s="50"/>
      <c r="H25" s="59"/>
      <c r="I25" s="58"/>
      <c r="J25" s="58"/>
      <c r="K25" s="58"/>
      <c r="L25" s="58"/>
      <c r="M25" s="58"/>
      <c r="N25" s="46"/>
    </row>
    <row r="26" spans="1:14" ht="18">
      <c r="A26" s="46"/>
      <c r="B26" s="46"/>
      <c r="C26" s="46"/>
      <c r="D26" s="46"/>
      <c r="E26" s="46"/>
      <c r="F26" s="46"/>
      <c r="G26" s="65" t="s">
        <v>18</v>
      </c>
      <c r="H26" s="58"/>
      <c r="I26" s="58"/>
      <c r="J26" s="58"/>
      <c r="K26" s="58"/>
      <c r="L26" s="58"/>
      <c r="M26" s="58"/>
      <c r="N26" s="46"/>
    </row>
    <row r="27" spans="1:14" ht="36">
      <c r="A27" s="46"/>
      <c r="B27" s="46"/>
      <c r="C27" s="46"/>
      <c r="D27" s="46"/>
      <c r="E27" s="46"/>
      <c r="F27" s="46"/>
      <c r="G27" s="66" t="s">
        <v>19</v>
      </c>
      <c r="H27" s="68"/>
      <c r="I27" s="53">
        <v>597382</v>
      </c>
      <c r="J27" s="53">
        <v>135891</v>
      </c>
      <c r="K27" s="55"/>
      <c r="L27" s="55"/>
      <c r="M27" s="55"/>
      <c r="N27" s="46"/>
    </row>
    <row r="28" spans="1:14" ht="54">
      <c r="A28" s="46"/>
      <c r="B28" s="46"/>
      <c r="C28" s="46"/>
      <c r="D28" s="46"/>
      <c r="E28" s="46"/>
      <c r="F28" s="46"/>
      <c r="G28" s="66" t="s">
        <v>98</v>
      </c>
      <c r="H28" s="68"/>
      <c r="I28" s="53">
        <v>80727</v>
      </c>
      <c r="J28" s="55"/>
      <c r="K28" s="55"/>
      <c r="L28" s="55"/>
      <c r="M28" s="55"/>
      <c r="N28" s="46"/>
    </row>
    <row r="29" spans="1:14" ht="18">
      <c r="A29" s="46"/>
      <c r="B29" s="46"/>
      <c r="C29" s="51">
        <f>I19+J19</f>
        <v>265680</v>
      </c>
      <c r="D29" s="46"/>
      <c r="E29" s="46"/>
      <c r="F29" s="46"/>
      <c r="G29" s="66" t="s">
        <v>15</v>
      </c>
      <c r="H29" s="58"/>
      <c r="I29" s="58"/>
      <c r="J29" s="58"/>
      <c r="K29" s="58"/>
      <c r="L29" s="58"/>
      <c r="M29" s="58"/>
      <c r="N29" s="46"/>
    </row>
    <row r="30" spans="1:14" ht="54">
      <c r="A30" s="46"/>
      <c r="B30" s="46"/>
      <c r="C30" s="46"/>
      <c r="D30" s="46"/>
      <c r="E30" s="46"/>
      <c r="F30" s="46"/>
      <c r="G30" s="66" t="s">
        <v>98</v>
      </c>
      <c r="H30" s="58"/>
      <c r="I30" s="55"/>
      <c r="J30" s="58">
        <v>5000</v>
      </c>
      <c r="K30" s="58">
        <v>5000</v>
      </c>
      <c r="L30" s="58">
        <v>5000</v>
      </c>
      <c r="M30" s="58">
        <v>5000</v>
      </c>
      <c r="N30" s="46"/>
    </row>
    <row r="31" spans="1:14" ht="36">
      <c r="A31" s="46"/>
      <c r="B31" s="46"/>
      <c r="C31" s="46"/>
      <c r="D31" s="46"/>
      <c r="E31" s="46"/>
      <c r="F31" s="46"/>
      <c r="G31" s="66" t="s">
        <v>1</v>
      </c>
      <c r="H31" s="58"/>
      <c r="I31" s="55"/>
      <c r="J31" s="58">
        <v>18000</v>
      </c>
      <c r="K31" s="58">
        <v>18000</v>
      </c>
      <c r="L31" s="58">
        <v>18000</v>
      </c>
      <c r="M31" s="58">
        <v>18000</v>
      </c>
      <c r="N31" s="46"/>
    </row>
    <row r="32" spans="1:14" ht="18">
      <c r="A32" s="46"/>
      <c r="B32" s="46"/>
      <c r="C32" s="46"/>
      <c r="D32" s="46"/>
      <c r="E32" s="46"/>
      <c r="F32" s="46"/>
      <c r="G32" s="66" t="s">
        <v>23</v>
      </c>
      <c r="H32" s="58"/>
      <c r="I32" s="55"/>
      <c r="J32" s="58">
        <v>110000</v>
      </c>
      <c r="K32" s="58">
        <v>110000</v>
      </c>
      <c r="L32" s="58">
        <v>110000</v>
      </c>
      <c r="M32" s="58">
        <v>110000</v>
      </c>
      <c r="N32" s="46"/>
    </row>
    <row r="33" spans="1:14" ht="36">
      <c r="A33" s="46"/>
      <c r="B33" s="46"/>
      <c r="C33" s="46"/>
      <c r="D33" s="46"/>
      <c r="E33" s="46"/>
      <c r="F33" s="46"/>
      <c r="G33" s="66" t="s">
        <v>150</v>
      </c>
      <c r="H33" s="58"/>
      <c r="I33" s="55"/>
      <c r="J33" s="58">
        <v>60000</v>
      </c>
      <c r="K33" s="58">
        <v>60000</v>
      </c>
      <c r="L33" s="58">
        <v>60000</v>
      </c>
      <c r="M33" s="58">
        <v>60000</v>
      </c>
      <c r="N33" s="46"/>
    </row>
    <row r="34" spans="1:14" ht="72">
      <c r="A34" s="46"/>
      <c r="B34" s="46"/>
      <c r="C34" s="46" t="s">
        <v>152</v>
      </c>
      <c r="D34" s="46"/>
      <c r="E34" s="46"/>
      <c r="F34" s="46"/>
      <c r="G34" s="66" t="s">
        <v>165</v>
      </c>
      <c r="H34" s="58"/>
      <c r="I34" s="55"/>
      <c r="J34" s="58">
        <v>50000</v>
      </c>
      <c r="K34" s="58">
        <v>50000</v>
      </c>
      <c r="L34" s="58">
        <v>50000</v>
      </c>
      <c r="M34" s="58">
        <v>50000</v>
      </c>
      <c r="N34" s="46"/>
    </row>
    <row r="35" spans="1:14" ht="36">
      <c r="A35" s="46"/>
      <c r="B35" s="46"/>
      <c r="C35" s="46" t="s">
        <v>153</v>
      </c>
      <c r="D35" s="46"/>
      <c r="E35" s="46"/>
      <c r="F35" s="46"/>
      <c r="G35" s="67" t="s">
        <v>2</v>
      </c>
      <c r="H35" s="53"/>
      <c r="I35" s="53">
        <f>SUM(I25:I34)</f>
        <v>678109</v>
      </c>
      <c r="J35" s="53">
        <f>SUM(J25:J34)</f>
        <v>378891</v>
      </c>
      <c r="K35" s="53">
        <f>SUM(K25:K34)</f>
        <v>243000</v>
      </c>
      <c r="L35" s="53">
        <f>SUM(L25:L34)</f>
        <v>243000</v>
      </c>
      <c r="M35" s="53">
        <f>SUM(M25:M34)</f>
        <v>243000</v>
      </c>
      <c r="N35" s="46"/>
    </row>
    <row r="36" spans="1:14" ht="18">
      <c r="A36" s="46"/>
      <c r="B36" s="46"/>
      <c r="C36" s="46"/>
      <c r="D36" s="46"/>
      <c r="E36" s="46"/>
      <c r="F36" s="46"/>
      <c r="G36" s="47"/>
      <c r="H36" s="46"/>
      <c r="I36" s="46"/>
      <c r="J36" s="46"/>
      <c r="K36" s="46"/>
      <c r="L36" s="46"/>
      <c r="M36" s="46"/>
      <c r="N36" s="46"/>
    </row>
    <row r="37" spans="1:14" ht="18">
      <c r="A37" s="46"/>
      <c r="B37" s="46"/>
      <c r="C37" s="46"/>
      <c r="D37" s="46"/>
      <c r="E37" s="46"/>
      <c r="F37" s="46"/>
      <c r="G37" s="47"/>
      <c r="H37" s="46"/>
      <c r="I37" s="46"/>
      <c r="J37" s="46"/>
      <c r="K37" s="46"/>
      <c r="L37" s="46"/>
      <c r="M37" s="46"/>
      <c r="N37" s="46"/>
    </row>
    <row r="38" spans="1:14" ht="18">
      <c r="A38" s="46"/>
      <c r="B38" s="46" t="s">
        <v>148</v>
      </c>
      <c r="C38" s="51"/>
      <c r="D38" s="46"/>
      <c r="E38" s="46"/>
      <c r="F38" s="46"/>
      <c r="G38" s="47"/>
      <c r="H38" s="46"/>
      <c r="I38" s="46"/>
      <c r="J38" s="46"/>
      <c r="K38" s="46"/>
      <c r="L38" s="46"/>
      <c r="M38" s="46"/>
      <c r="N38" s="46"/>
    </row>
    <row r="39" spans="1:14" ht="18">
      <c r="A39" s="46"/>
      <c r="B39" s="46" t="s">
        <v>149</v>
      </c>
      <c r="C39" s="51"/>
      <c r="D39" s="46"/>
      <c r="E39" s="69"/>
      <c r="F39" s="46"/>
      <c r="G39" s="47"/>
      <c r="H39" s="46"/>
      <c r="I39" s="46"/>
      <c r="J39" s="46"/>
      <c r="K39" s="46"/>
      <c r="L39" s="46"/>
      <c r="M39" s="46"/>
      <c r="N39" s="46"/>
    </row>
    <row r="40" spans="1:14" ht="18">
      <c r="A40" s="46"/>
      <c r="B40" s="46" t="s">
        <v>148</v>
      </c>
      <c r="C40" s="51"/>
      <c r="D40" s="46"/>
      <c r="E40" s="46"/>
      <c r="F40" s="46"/>
      <c r="G40" s="47"/>
      <c r="H40" s="46"/>
      <c r="I40" s="46"/>
      <c r="J40" s="46"/>
      <c r="K40" s="46"/>
      <c r="L40" s="46"/>
      <c r="M40" s="46"/>
      <c r="N40" s="46"/>
    </row>
    <row r="41" spans="1:14" ht="18">
      <c r="A41" s="46"/>
      <c r="B41" s="46" t="s">
        <v>149</v>
      </c>
      <c r="C41" s="51"/>
      <c r="D41" s="46"/>
      <c r="E41" s="46"/>
      <c r="F41" s="46"/>
      <c r="G41" s="47"/>
      <c r="H41" s="46" t="s">
        <v>3</v>
      </c>
      <c r="I41" s="46" t="s">
        <v>4</v>
      </c>
      <c r="J41" s="46" t="s">
        <v>164</v>
      </c>
      <c r="K41" s="46"/>
      <c r="L41" s="46"/>
      <c r="M41" s="46"/>
      <c r="N41" s="46"/>
    </row>
    <row r="42" spans="1:14" ht="36">
      <c r="A42" s="46"/>
      <c r="B42" s="46"/>
      <c r="C42" s="46"/>
      <c r="D42" s="46"/>
      <c r="E42" s="46"/>
      <c r="F42" s="46"/>
      <c r="G42" s="47" t="s">
        <v>162</v>
      </c>
      <c r="H42" s="58">
        <v>592336.36363636365</v>
      </c>
      <c r="I42" s="58">
        <v>135890.90909090909</v>
      </c>
      <c r="J42" s="58">
        <v>728227.27272727271</v>
      </c>
      <c r="K42" s="46"/>
      <c r="L42" s="46"/>
      <c r="M42" s="46"/>
      <c r="N42" s="46"/>
    </row>
    <row r="43" spans="1:14" ht="36">
      <c r="A43" s="46"/>
      <c r="B43" s="46"/>
      <c r="C43" s="46"/>
      <c r="D43" s="46"/>
      <c r="E43" s="46"/>
      <c r="F43" s="46"/>
      <c r="G43" s="47" t="s">
        <v>163</v>
      </c>
      <c r="H43" s="58">
        <v>211815</v>
      </c>
      <c r="I43" s="58">
        <v>51840</v>
      </c>
      <c r="J43" s="58">
        <v>263655</v>
      </c>
      <c r="K43" s="46"/>
      <c r="L43" s="46"/>
      <c r="M43" s="46"/>
      <c r="N43" s="46"/>
    </row>
    <row r="44" spans="1:14" ht="18">
      <c r="A44" s="46"/>
      <c r="B44" s="46"/>
      <c r="C44" s="46"/>
      <c r="D44" s="46"/>
      <c r="E44" s="46"/>
      <c r="F44" s="46"/>
      <c r="G44" s="47" t="s">
        <v>164</v>
      </c>
      <c r="H44" s="58">
        <v>804151.36363636365</v>
      </c>
      <c r="I44" s="58">
        <v>187730.90909090909</v>
      </c>
      <c r="J44" s="58">
        <v>991882.27272727271</v>
      </c>
      <c r="K44" s="46"/>
      <c r="L44" s="46"/>
      <c r="M44" s="46"/>
      <c r="N44" s="46"/>
    </row>
    <row r="45" spans="1:14" ht="18">
      <c r="A45" s="46"/>
      <c r="B45" s="46"/>
      <c r="C45" s="46"/>
      <c r="D45" s="46"/>
      <c r="E45" s="46"/>
      <c r="F45" s="46"/>
      <c r="G45" s="47"/>
      <c r="H45" s="46"/>
      <c r="I45" s="46"/>
      <c r="J45" s="46"/>
      <c r="K45" s="46"/>
      <c r="L45" s="46"/>
      <c r="M45" s="46"/>
      <c r="N45" s="46"/>
    </row>
    <row r="46" spans="1:14" ht="18">
      <c r="A46" s="46"/>
      <c r="B46" s="46"/>
      <c r="C46" s="46"/>
      <c r="D46" s="46"/>
      <c r="E46" s="46"/>
      <c r="F46" s="46"/>
      <c r="G46" s="47"/>
      <c r="H46" s="46"/>
      <c r="I46" s="46"/>
      <c r="J46" s="46"/>
      <c r="K46" s="46"/>
      <c r="L46" s="46"/>
      <c r="M46" s="46"/>
      <c r="N46" s="46"/>
    </row>
    <row r="47" spans="1:14" ht="18">
      <c r="A47" s="46"/>
      <c r="B47" s="46"/>
      <c r="C47" s="46"/>
      <c r="D47" s="46"/>
      <c r="E47" s="46"/>
      <c r="F47" s="46"/>
      <c r="G47" s="47"/>
      <c r="H47" s="46"/>
      <c r="I47" s="46"/>
      <c r="J47" s="46"/>
      <c r="K47" s="46"/>
      <c r="L47" s="46"/>
      <c r="M47" s="46"/>
      <c r="N47" s="46"/>
    </row>
    <row r="48" spans="1:14" ht="18">
      <c r="A48" s="46"/>
      <c r="B48" s="46"/>
      <c r="C48" s="46"/>
      <c r="D48" s="46"/>
      <c r="E48" s="46"/>
      <c r="F48" s="46"/>
      <c r="G48" s="47"/>
      <c r="H48" s="46"/>
      <c r="I48" s="46"/>
      <c r="J48" s="46"/>
      <c r="K48" s="46"/>
      <c r="L48" s="46"/>
      <c r="M48" s="46"/>
      <c r="N48" s="46"/>
    </row>
    <row r="49" spans="1:14" ht="18">
      <c r="A49" s="46"/>
      <c r="B49" s="46"/>
      <c r="C49" s="46"/>
      <c r="D49" s="46"/>
      <c r="E49" s="46"/>
      <c r="F49" s="46"/>
      <c r="G49" s="47"/>
      <c r="H49" s="46"/>
      <c r="I49" s="46"/>
      <c r="J49" s="46"/>
      <c r="K49" s="46"/>
      <c r="L49" s="46"/>
      <c r="M49" s="46"/>
      <c r="N49" s="46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selection activeCell="B5" sqref="B5"/>
    </sheetView>
  </sheetViews>
  <sheetFormatPr baseColWidth="10" defaultRowHeight="12.75"/>
  <cols>
    <col min="1" max="1" width="3" customWidth="1"/>
    <col min="2" max="2" width="40.85546875" customWidth="1"/>
    <col min="3" max="3" width="7.42578125" bestFit="1" customWidth="1"/>
    <col min="4" max="8" width="7.5703125" bestFit="1" customWidth="1"/>
  </cols>
  <sheetData>
    <row r="1" spans="1:8" ht="13.5" thickBot="1"/>
    <row r="2" spans="1:8" ht="13.5" thickBot="1">
      <c r="A2" s="1"/>
      <c r="B2" s="1"/>
      <c r="C2" s="2" t="s">
        <v>0</v>
      </c>
      <c r="D2" s="2" t="s">
        <v>3</v>
      </c>
      <c r="E2" s="2" t="s">
        <v>4</v>
      </c>
      <c r="F2" s="2" t="s">
        <v>5</v>
      </c>
      <c r="G2" s="2" t="s">
        <v>16</v>
      </c>
      <c r="H2" s="2" t="s">
        <v>17</v>
      </c>
    </row>
    <row r="3" spans="1:8">
      <c r="A3" s="3" t="s">
        <v>112</v>
      </c>
      <c r="B3" s="1"/>
    </row>
    <row r="4" spans="1:8">
      <c r="A4" s="3" t="s">
        <v>7</v>
      </c>
      <c r="B4" s="1"/>
    </row>
    <row r="5" spans="1:8">
      <c r="A5" s="1"/>
      <c r="B5" s="1" t="s">
        <v>9</v>
      </c>
      <c r="C5" s="19"/>
      <c r="D5" s="22"/>
      <c r="E5" s="22"/>
      <c r="F5" s="22"/>
      <c r="G5" s="22"/>
      <c r="H5" s="22"/>
    </row>
    <row r="6" spans="1:8">
      <c r="A6" s="1"/>
      <c r="B6" s="1" t="s">
        <v>10</v>
      </c>
      <c r="C6" s="19"/>
      <c r="D6" s="22"/>
      <c r="E6" s="22"/>
      <c r="F6" s="22"/>
      <c r="G6" s="22"/>
      <c r="H6" s="22"/>
    </row>
    <row r="7" spans="1:8">
      <c r="A7" s="1"/>
      <c r="B7" s="1" t="s">
        <v>25</v>
      </c>
      <c r="C7" s="19"/>
      <c r="D7" s="22"/>
      <c r="E7" s="22"/>
      <c r="F7" s="22"/>
      <c r="G7" s="22"/>
      <c r="H7" s="22"/>
    </row>
    <row r="8" spans="1:8">
      <c r="A8" s="1"/>
      <c r="B8" s="1" t="s">
        <v>11</v>
      </c>
      <c r="C8" s="20"/>
      <c r="D8" s="22"/>
      <c r="E8" s="22"/>
      <c r="F8" s="22"/>
      <c r="G8" s="4"/>
      <c r="H8" s="4"/>
    </row>
    <row r="9" spans="1:8">
      <c r="A9" s="1"/>
      <c r="B9" s="1" t="s">
        <v>27</v>
      </c>
      <c r="C9" s="20"/>
      <c r="D9" s="4"/>
      <c r="E9" s="4"/>
      <c r="F9" s="4"/>
      <c r="G9" s="4"/>
      <c r="H9" s="4"/>
    </row>
    <row r="10" spans="1:8">
      <c r="B10" s="5" t="s">
        <v>38</v>
      </c>
      <c r="C10" s="19"/>
      <c r="D10" s="4"/>
      <c r="E10" s="4"/>
      <c r="F10" s="4"/>
      <c r="G10" s="4"/>
      <c r="H10" s="4"/>
    </row>
    <row r="11" spans="1:8">
      <c r="A11" s="3" t="s">
        <v>8</v>
      </c>
      <c r="B11" s="1"/>
      <c r="C11" s="21"/>
    </row>
    <row r="12" spans="1:8">
      <c r="A12" s="1"/>
      <c r="B12" s="1" t="s">
        <v>12</v>
      </c>
      <c r="C12" s="19"/>
      <c r="D12" s="22"/>
      <c r="E12" s="22"/>
      <c r="F12" s="22"/>
      <c r="G12" s="22"/>
      <c r="H12" s="22"/>
    </row>
    <row r="13" spans="1:8">
      <c r="A13" s="1"/>
      <c r="B13" s="1" t="s">
        <v>24</v>
      </c>
      <c r="C13" s="19"/>
      <c r="D13" s="22"/>
      <c r="E13" s="22"/>
      <c r="F13" s="22"/>
      <c r="G13" s="22"/>
      <c r="H13" s="22"/>
    </row>
    <row r="14" spans="1:8">
      <c r="A14" s="1"/>
      <c r="B14" s="1" t="s">
        <v>11</v>
      </c>
      <c r="C14" s="20"/>
      <c r="D14" s="22"/>
      <c r="E14" s="22"/>
      <c r="F14" s="22"/>
      <c r="G14" s="4"/>
      <c r="H14" s="4"/>
    </row>
    <row r="15" spans="1:8">
      <c r="A15" s="1"/>
      <c r="B15" s="5" t="s">
        <v>39</v>
      </c>
      <c r="C15" s="19"/>
      <c r="D15" s="4"/>
      <c r="E15" s="4"/>
      <c r="F15" s="4"/>
      <c r="G15" s="4"/>
      <c r="H15" s="4"/>
    </row>
    <row r="16" spans="1:8">
      <c r="A16" s="1"/>
      <c r="B16" s="5" t="s">
        <v>26</v>
      </c>
      <c r="C16" s="19"/>
      <c r="D16" s="6"/>
      <c r="E16" s="6"/>
      <c r="F16" s="6"/>
      <c r="G16" s="6"/>
      <c r="H16" s="6"/>
    </row>
    <row r="17" spans="1:8">
      <c r="A17" s="1"/>
      <c r="B17" s="1"/>
    </row>
    <row r="18" spans="1:8">
      <c r="A18" s="3" t="s">
        <v>6</v>
      </c>
      <c r="B18" s="1"/>
    </row>
    <row r="19" spans="1:8">
      <c r="A19" s="1"/>
      <c r="B19" s="1" t="s">
        <v>115</v>
      </c>
      <c r="C19" s="4"/>
      <c r="D19" s="19"/>
      <c r="E19" s="19"/>
      <c r="F19" s="22"/>
      <c r="G19" s="22"/>
      <c r="H19" s="22"/>
    </row>
    <row r="20" spans="1:8">
      <c r="A20" s="1"/>
      <c r="B20" s="1" t="s">
        <v>21</v>
      </c>
      <c r="C20" s="4"/>
      <c r="D20" s="19"/>
      <c r="E20" s="22"/>
      <c r="F20" s="22"/>
      <c r="G20" s="22"/>
      <c r="H20" s="22"/>
    </row>
    <row r="21" spans="1:8">
      <c r="A21" s="1"/>
      <c r="B21" s="1" t="s">
        <v>22</v>
      </c>
      <c r="C21" s="4"/>
      <c r="D21" s="19"/>
      <c r="E21" s="22"/>
      <c r="F21" s="22"/>
      <c r="G21" s="22"/>
      <c r="H21" s="22"/>
    </row>
    <row r="22" spans="1:8">
      <c r="A22" s="1"/>
      <c r="B22" s="1" t="s">
        <v>13</v>
      </c>
      <c r="C22" s="4"/>
      <c r="D22" s="22"/>
      <c r="E22" s="4"/>
      <c r="F22" s="4"/>
      <c r="G22" s="4"/>
      <c r="H22" s="4"/>
    </row>
    <row r="23" spans="1:8">
      <c r="A23" s="1"/>
      <c r="B23" s="5" t="s">
        <v>14</v>
      </c>
      <c r="C23" s="6"/>
      <c r="D23" s="6"/>
      <c r="E23" s="6"/>
      <c r="F23" s="6"/>
      <c r="G23" s="6"/>
      <c r="H23" s="6"/>
    </row>
    <row r="24" spans="1:8">
      <c r="A24" s="1"/>
      <c r="B24" s="1"/>
    </row>
    <row r="25" spans="1:8">
      <c r="A25" s="3" t="s">
        <v>20</v>
      </c>
      <c r="B25" s="1"/>
      <c r="C25" s="4"/>
      <c r="D25" s="4"/>
      <c r="E25" s="4"/>
      <c r="F25" s="4"/>
      <c r="G25" s="4"/>
      <c r="H25" s="4"/>
    </row>
    <row r="26" spans="1:8">
      <c r="A26" s="1"/>
      <c r="B26" s="1" t="s">
        <v>18</v>
      </c>
      <c r="C26" s="4"/>
      <c r="D26" s="4"/>
      <c r="E26" s="4"/>
      <c r="F26" s="4"/>
      <c r="G26" s="4"/>
      <c r="H26" s="4"/>
    </row>
    <row r="27" spans="1:8">
      <c r="A27" s="1"/>
      <c r="B27" s="1" t="s">
        <v>19</v>
      </c>
      <c r="C27" s="7"/>
      <c r="D27" s="19"/>
      <c r="E27" s="19"/>
      <c r="F27" s="22"/>
      <c r="G27" s="22"/>
      <c r="H27" s="22"/>
    </row>
    <row r="28" spans="1:8">
      <c r="A28" s="1"/>
      <c r="B28" s="1" t="s">
        <v>98</v>
      </c>
      <c r="C28" s="7"/>
      <c r="D28" s="19"/>
      <c r="E28" s="22"/>
      <c r="F28" s="22"/>
      <c r="G28" s="22"/>
      <c r="H28" s="22"/>
    </row>
    <row r="29" spans="1:8">
      <c r="A29" s="1"/>
      <c r="B29" s="1" t="s">
        <v>15</v>
      </c>
      <c r="C29" s="4"/>
      <c r="D29" s="4"/>
      <c r="E29" s="4"/>
      <c r="F29" s="4"/>
      <c r="G29" s="4"/>
      <c r="H29" s="4"/>
    </row>
    <row r="30" spans="1:8">
      <c r="A30" s="1"/>
      <c r="B30" s="1" t="s">
        <v>98</v>
      </c>
      <c r="C30" s="4"/>
      <c r="D30" s="22"/>
      <c r="E30" s="4"/>
      <c r="F30" s="4"/>
      <c r="G30" s="4"/>
      <c r="H30" s="4"/>
    </row>
    <row r="31" spans="1:8">
      <c r="A31" s="1"/>
      <c r="B31" s="1" t="s">
        <v>1</v>
      </c>
      <c r="C31" s="4"/>
      <c r="D31" s="22"/>
      <c r="E31" s="4"/>
      <c r="F31" s="4"/>
      <c r="G31" s="4"/>
      <c r="H31" s="4"/>
    </row>
    <row r="32" spans="1:8">
      <c r="A32" s="1"/>
      <c r="B32" s="1" t="s">
        <v>23</v>
      </c>
      <c r="C32" s="4"/>
      <c r="D32" s="22"/>
      <c r="E32" s="4"/>
      <c r="F32" s="4"/>
      <c r="G32" s="4"/>
      <c r="H32" s="4"/>
    </row>
    <row r="33" spans="1:8">
      <c r="A33" s="1"/>
      <c r="B33" s="1" t="s">
        <v>150</v>
      </c>
      <c r="C33" s="4"/>
      <c r="D33" s="22"/>
      <c r="E33" s="4"/>
      <c r="F33" s="4"/>
      <c r="G33" s="4"/>
      <c r="H33" s="4"/>
    </row>
    <row r="34" spans="1:8">
      <c r="A34" s="1"/>
      <c r="B34" s="1" t="s">
        <v>151</v>
      </c>
      <c r="C34" s="4"/>
      <c r="D34" s="22"/>
      <c r="E34" s="4"/>
      <c r="F34" s="4"/>
      <c r="G34" s="4"/>
      <c r="H34" s="4"/>
    </row>
    <row r="35" spans="1:8">
      <c r="A35" s="1"/>
      <c r="B35" s="5" t="s">
        <v>2</v>
      </c>
      <c r="C35" s="6"/>
      <c r="D35" s="6"/>
      <c r="E35" s="6"/>
      <c r="F35" s="6"/>
      <c r="G35" s="6"/>
      <c r="H35" s="6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I5" sqref="I5"/>
    </sheetView>
  </sheetViews>
  <sheetFormatPr baseColWidth="10" defaultColWidth="11.5703125" defaultRowHeight="11.25"/>
  <cols>
    <col min="1" max="1" width="31.5703125" style="24" bestFit="1" customWidth="1"/>
    <col min="2" max="6" width="11.140625" style="109" bestFit="1" customWidth="1"/>
    <col min="7" max="16384" width="11.5703125" style="109"/>
  </cols>
  <sheetData>
    <row r="1" spans="1:6">
      <c r="A1" s="107"/>
      <c r="B1" s="108" t="s">
        <v>3</v>
      </c>
      <c r="C1" s="108" t="s">
        <v>4</v>
      </c>
      <c r="D1" s="108" t="s">
        <v>5</v>
      </c>
      <c r="E1" s="108" t="s">
        <v>16</v>
      </c>
      <c r="F1" s="108" t="s">
        <v>17</v>
      </c>
    </row>
    <row r="2" spans="1:6">
      <c r="A2" s="24" t="s">
        <v>43</v>
      </c>
      <c r="B2" s="110">
        <v>130000000</v>
      </c>
      <c r="C2" s="110">
        <f>B2*1.12</f>
        <v>145600000</v>
      </c>
      <c r="D2" s="110">
        <f>C2*1.12</f>
        <v>163072000.00000003</v>
      </c>
      <c r="E2" s="110">
        <f>D2*1.12</f>
        <v>182640640.00000006</v>
      </c>
      <c r="F2" s="110">
        <f>E2*1.12</f>
        <v>204557516.80000007</v>
      </c>
    </row>
    <row r="3" spans="1:6">
      <c r="A3" s="24" t="s">
        <v>44</v>
      </c>
      <c r="B3" s="111"/>
      <c r="C3" s="110">
        <f>C2-B2</f>
        <v>15600000</v>
      </c>
      <c r="D3" s="110">
        <f>D2-C2</f>
        <v>17472000.00000003</v>
      </c>
      <c r="E3" s="110">
        <f>E2-D2</f>
        <v>19568640.00000003</v>
      </c>
      <c r="F3" s="110">
        <f>F2-E2</f>
        <v>21916876.800000012</v>
      </c>
    </row>
    <row r="4" spans="1:6" ht="22.5">
      <c r="A4" s="24" t="s">
        <v>53</v>
      </c>
      <c r="B4" s="111"/>
      <c r="C4" s="112">
        <v>0.03</v>
      </c>
      <c r="D4" s="112">
        <v>0.04</v>
      </c>
      <c r="E4" s="112">
        <v>0.05</v>
      </c>
      <c r="F4" s="112">
        <v>0.06</v>
      </c>
    </row>
    <row r="5" spans="1:6" ht="22.5">
      <c r="A5" s="107" t="s">
        <v>47</v>
      </c>
      <c r="B5" s="113">
        <f>B3*B4</f>
        <v>0</v>
      </c>
      <c r="C5" s="113">
        <f>C3*C4</f>
        <v>468000</v>
      </c>
      <c r="D5" s="113">
        <f>D3*D4</f>
        <v>698880.00000000116</v>
      </c>
      <c r="E5" s="113">
        <f>E3*E4</f>
        <v>978432.00000000151</v>
      </c>
      <c r="F5" s="113">
        <f>F3*F4</f>
        <v>1315012.6080000007</v>
      </c>
    </row>
    <row r="6" spans="1:6" ht="22.5">
      <c r="A6" s="24" t="s">
        <v>46</v>
      </c>
      <c r="B6" s="110">
        <v>24</v>
      </c>
      <c r="C6" s="110">
        <v>22</v>
      </c>
      <c r="D6" s="110">
        <v>20</v>
      </c>
      <c r="E6" s="110">
        <v>19</v>
      </c>
      <c r="F6" s="110">
        <v>18</v>
      </c>
    </row>
    <row r="7" spans="1:6" ht="22.5">
      <c r="A7" s="24" t="s">
        <v>45</v>
      </c>
      <c r="C7" s="110">
        <f>B6-C6</f>
        <v>2</v>
      </c>
      <c r="D7" s="110">
        <f>C6-D6</f>
        <v>2</v>
      </c>
      <c r="E7" s="110">
        <f>D6-E6</f>
        <v>1</v>
      </c>
      <c r="F7" s="110">
        <f>E6-F6</f>
        <v>1</v>
      </c>
    </row>
    <row r="8" spans="1:6" ht="33.75">
      <c r="A8" s="24" t="s">
        <v>100</v>
      </c>
      <c r="C8" s="110">
        <f>C2/365*C7*0.9</f>
        <v>718027.39726027404</v>
      </c>
      <c r="D8" s="110">
        <f>D2/365*D7*0.9</f>
        <v>804190.6849315071</v>
      </c>
      <c r="E8" s="110">
        <f>E2/365*E7*0.9</f>
        <v>450346.78356164397</v>
      </c>
      <c r="F8" s="110">
        <f>F2/365*F7*0.9</f>
        <v>504388.39758904127</v>
      </c>
    </row>
    <row r="9" spans="1:6" ht="22.5">
      <c r="A9" s="24" t="s">
        <v>103</v>
      </c>
      <c r="C9" s="110">
        <f>C8*0.15</f>
        <v>107704.10958904111</v>
      </c>
      <c r="D9" s="110">
        <f>D8*0.15</f>
        <v>120628.60273972606</v>
      </c>
      <c r="E9" s="110">
        <f>E8*0.15</f>
        <v>67552.017534246595</v>
      </c>
      <c r="F9" s="110">
        <f>F8*0.15</f>
        <v>75658.25963835619</v>
      </c>
    </row>
    <row r="10" spans="1:6" ht="22.5">
      <c r="A10" s="24" t="s">
        <v>48</v>
      </c>
      <c r="C10" s="112">
        <v>0.2</v>
      </c>
      <c r="D10" s="112">
        <v>0.3</v>
      </c>
      <c r="E10" s="112">
        <v>0.25</v>
      </c>
      <c r="F10" s="112">
        <v>0.2</v>
      </c>
    </row>
    <row r="11" spans="1:6" ht="22.5">
      <c r="A11" s="107" t="s">
        <v>51</v>
      </c>
      <c r="B11" s="113">
        <v>0</v>
      </c>
      <c r="C11" s="113">
        <f>C9*C10</f>
        <v>21540.821917808222</v>
      </c>
      <c r="D11" s="113">
        <f>D9*D10</f>
        <v>36188.580821917814</v>
      </c>
      <c r="E11" s="113">
        <f>E9*E10</f>
        <v>16888.004383561649</v>
      </c>
      <c r="F11" s="113">
        <f>F9*F10</f>
        <v>15131.651927671239</v>
      </c>
    </row>
    <row r="12" spans="1:6" ht="22.5">
      <c r="A12" s="24" t="s">
        <v>49</v>
      </c>
      <c r="B12" s="110">
        <v>18</v>
      </c>
      <c r="C12" s="110">
        <v>16</v>
      </c>
      <c r="D12" s="110">
        <v>14</v>
      </c>
      <c r="E12" s="110">
        <v>12</v>
      </c>
      <c r="F12" s="110">
        <v>11</v>
      </c>
    </row>
    <row r="13" spans="1:6" ht="22.5">
      <c r="A13" s="24" t="s">
        <v>50</v>
      </c>
      <c r="C13" s="110">
        <f>B12-C12</f>
        <v>2</v>
      </c>
      <c r="D13" s="110">
        <f>C12-D12</f>
        <v>2</v>
      </c>
      <c r="E13" s="110">
        <f>D12-E12</f>
        <v>2</v>
      </c>
      <c r="F13" s="110">
        <f>E12-F12</f>
        <v>1</v>
      </c>
    </row>
    <row r="14" spans="1:6" ht="33.75">
      <c r="A14" s="24" t="s">
        <v>101</v>
      </c>
      <c r="C14" s="110">
        <f>C13*C2/365*0.4</f>
        <v>319123.28767123289</v>
      </c>
      <c r="D14" s="110">
        <f>D13*D2/365*0.4</f>
        <v>357418.08219178091</v>
      </c>
      <c r="E14" s="110">
        <f>E13*E2/365*0.4</f>
        <v>400308.25205479469</v>
      </c>
      <c r="F14" s="110">
        <f>F13*F2/365*0.4</f>
        <v>224172.62115068501</v>
      </c>
    </row>
    <row r="15" spans="1:6" ht="22.5">
      <c r="A15" s="24" t="s">
        <v>102</v>
      </c>
      <c r="C15" s="110">
        <f>C14*0.15</f>
        <v>47868.493150684932</v>
      </c>
      <c r="D15" s="110">
        <f>D14*0.15</f>
        <v>53612.712328767135</v>
      </c>
      <c r="E15" s="110">
        <f>E14*0.15</f>
        <v>60046.237808219201</v>
      </c>
      <c r="F15" s="110">
        <f>F14*0.15</f>
        <v>33625.893172602751</v>
      </c>
    </row>
    <row r="16" spans="1:6" ht="22.5">
      <c r="A16" s="24" t="s">
        <v>52</v>
      </c>
      <c r="C16" s="112">
        <f>C10</f>
        <v>0.2</v>
      </c>
      <c r="D16" s="112">
        <f>D10</f>
        <v>0.3</v>
      </c>
      <c r="E16" s="112">
        <f>E10</f>
        <v>0.25</v>
      </c>
      <c r="F16" s="112">
        <f>F10</f>
        <v>0.2</v>
      </c>
    </row>
    <row r="17" spans="1:6" ht="22.5">
      <c r="A17" s="107" t="s">
        <v>104</v>
      </c>
      <c r="B17" s="113">
        <v>0</v>
      </c>
      <c r="C17" s="113">
        <f>C15*C16</f>
        <v>9573.698630136987</v>
      </c>
      <c r="D17" s="113">
        <f>D15*D16</f>
        <v>16083.81369863014</v>
      </c>
      <c r="E17" s="113">
        <f>E15*E16</f>
        <v>15011.5594520548</v>
      </c>
      <c r="F17" s="113">
        <f>F15*F16</f>
        <v>6725.178634520551</v>
      </c>
    </row>
    <row r="18" spans="1:6" ht="22.5">
      <c r="A18" s="24" t="s">
        <v>105</v>
      </c>
      <c r="B18" s="110">
        <f>B2*0.4</f>
        <v>52000000</v>
      </c>
      <c r="C18" s="110">
        <f>C2*0.4</f>
        <v>58240000</v>
      </c>
      <c r="D18" s="110">
        <f>D2*0.4</f>
        <v>65228800.000000015</v>
      </c>
      <c r="E18" s="110">
        <f>E2*0.4</f>
        <v>73056256.00000003</v>
      </c>
      <c r="F18" s="110">
        <f>F2*0.4</f>
        <v>81823006.720000029</v>
      </c>
    </row>
    <row r="19" spans="1:6" ht="33.75">
      <c r="A19" s="24" t="s">
        <v>99</v>
      </c>
      <c r="B19" s="110">
        <f>B18*0.02</f>
        <v>1040000</v>
      </c>
      <c r="C19" s="110">
        <f>C18*0.04</f>
        <v>2329600</v>
      </c>
      <c r="D19" s="110">
        <f>D18*0.04</f>
        <v>2609152.0000000005</v>
      </c>
      <c r="E19" s="110">
        <f>E18*0.04</f>
        <v>2922250.2400000012</v>
      </c>
      <c r="F19" s="110">
        <f>F18*0.04</f>
        <v>3272920.2688000011</v>
      </c>
    </row>
    <row r="20" spans="1:6" ht="22.5">
      <c r="A20" s="24" t="s">
        <v>107</v>
      </c>
      <c r="B20" s="112">
        <v>0.1</v>
      </c>
      <c r="C20" s="112">
        <v>0.12</v>
      </c>
      <c r="D20" s="112">
        <v>0.14000000000000001</v>
      </c>
      <c r="E20" s="112">
        <v>0.12</v>
      </c>
      <c r="F20" s="112">
        <v>0.12</v>
      </c>
    </row>
    <row r="21" spans="1:6" ht="22.5">
      <c r="A21" s="114" t="s">
        <v>106</v>
      </c>
      <c r="B21" s="113">
        <f>B19*B20</f>
        <v>104000</v>
      </c>
      <c r="C21" s="113">
        <f>C19*C20</f>
        <v>279552</v>
      </c>
      <c r="D21" s="113">
        <f>D19*D20</f>
        <v>365281.28000000009</v>
      </c>
      <c r="E21" s="113">
        <f>E19*E20</f>
        <v>350670.02880000015</v>
      </c>
      <c r="F21" s="113">
        <f>F19*F20</f>
        <v>392750.43225600012</v>
      </c>
    </row>
    <row r="22" spans="1:6" ht="22.5">
      <c r="A22" s="107" t="s">
        <v>109</v>
      </c>
      <c r="B22" s="113">
        <v>10000</v>
      </c>
      <c r="C22" s="113">
        <v>20000</v>
      </c>
      <c r="D22" s="113">
        <v>25000</v>
      </c>
      <c r="E22" s="113">
        <v>25000</v>
      </c>
      <c r="F22" s="113">
        <v>25000</v>
      </c>
    </row>
    <row r="23" spans="1:6">
      <c r="B23" s="110"/>
      <c r="C23" s="110"/>
      <c r="D23" s="110"/>
      <c r="E23" s="110"/>
      <c r="F23" s="110"/>
    </row>
    <row r="24" spans="1:6" ht="22.5">
      <c r="A24" s="115" t="s">
        <v>108</v>
      </c>
      <c r="B24" s="113">
        <f>B5+B11+B17+B21+B22</f>
        <v>114000</v>
      </c>
      <c r="C24" s="113">
        <f>C5+C11+C17+C21+C22</f>
        <v>798666.52054794517</v>
      </c>
      <c r="D24" s="113">
        <f>D5+D11+D17+D21+D22</f>
        <v>1141433.6745205491</v>
      </c>
      <c r="E24" s="113">
        <f>E5+E11+E17+E21+E22</f>
        <v>1386001.5926356181</v>
      </c>
      <c r="F24" s="113">
        <f>F5+F11+F17+F21+F22</f>
        <v>1754619.8708181926</v>
      </c>
    </row>
    <row r="25" spans="1:6">
      <c r="B25" s="110"/>
      <c r="C25" s="110"/>
      <c r="D25" s="110"/>
      <c r="E25" s="110"/>
      <c r="F25" s="110"/>
    </row>
    <row r="26" spans="1:6">
      <c r="B26" s="111"/>
      <c r="C26" s="111"/>
      <c r="D26" s="111"/>
      <c r="E26" s="111"/>
      <c r="F26" s="111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T42"/>
  <sheetViews>
    <sheetView tabSelected="1" workbookViewId="0">
      <selection activeCell="M28" sqref="M28"/>
    </sheetView>
  </sheetViews>
  <sheetFormatPr baseColWidth="10" defaultRowHeight="14.25"/>
  <cols>
    <col min="1" max="1" width="42.42578125" style="118" bestFit="1" customWidth="1"/>
    <col min="2" max="2" width="9.28515625" style="118" bestFit="1" customWidth="1"/>
    <col min="3" max="4" width="11.140625" style="118" bestFit="1" customWidth="1"/>
    <col min="5" max="6" width="10.42578125" style="118" bestFit="1" customWidth="1"/>
    <col min="7" max="7" width="11.42578125" style="118"/>
    <col min="8" max="10" width="0" style="118" hidden="1" customWidth="1"/>
    <col min="11" max="11" width="10.5703125" style="118" hidden="1" customWidth="1"/>
    <col min="12" max="12" width="0" style="118" hidden="1" customWidth="1"/>
    <col min="13" max="14" width="11.42578125" style="118"/>
    <col min="15" max="15" width="41.42578125" style="118" customWidth="1"/>
    <col min="16" max="16" width="16.42578125" style="118" customWidth="1"/>
    <col min="17" max="18" width="15.85546875" style="118" bestFit="1" customWidth="1"/>
    <col min="19" max="20" width="17.140625" style="118" bestFit="1" customWidth="1"/>
    <col min="21" max="16384" width="11.42578125" style="118"/>
  </cols>
  <sheetData>
    <row r="1" spans="1:17">
      <c r="A1" s="116" t="s">
        <v>28</v>
      </c>
      <c r="B1" s="117"/>
      <c r="C1" s="117"/>
      <c r="D1" s="117"/>
      <c r="E1" s="117"/>
      <c r="F1" s="117"/>
    </row>
    <row r="2" spans="1:17">
      <c r="A2" s="116"/>
      <c r="B2" s="119" t="s">
        <v>0</v>
      </c>
      <c r="C2" s="119" t="s">
        <v>3</v>
      </c>
      <c r="D2" s="119" t="s">
        <v>4</v>
      </c>
      <c r="E2" s="119" t="s">
        <v>5</v>
      </c>
      <c r="F2" s="119" t="s">
        <v>16</v>
      </c>
      <c r="O2" s="136"/>
      <c r="P2" s="122"/>
    </row>
    <row r="3" spans="1:17">
      <c r="A3" s="120" t="s">
        <v>29</v>
      </c>
      <c r="B3" s="121"/>
      <c r="C3" s="122">
        <f>gain!B24</f>
        <v>114000</v>
      </c>
      <c r="D3" s="122">
        <f>gain!C24</f>
        <v>798666.52054794517</v>
      </c>
      <c r="E3" s="122">
        <f>gain!D24</f>
        <v>1141433.6745205491</v>
      </c>
      <c r="F3" s="122">
        <f>gain!E24</f>
        <v>1386001.5926356181</v>
      </c>
      <c r="O3" s="136" t="s">
        <v>242</v>
      </c>
      <c r="P3" s="122">
        <v>130000000</v>
      </c>
    </row>
    <row r="4" spans="1:17">
      <c r="A4" s="123"/>
      <c r="B4" s="124"/>
      <c r="C4" s="124"/>
      <c r="D4" s="124"/>
      <c r="E4" s="124"/>
      <c r="F4" s="124"/>
      <c r="O4" s="136" t="s">
        <v>243</v>
      </c>
      <c r="P4" s="134">
        <v>1.4999999999999999E-2</v>
      </c>
    </row>
    <row r="5" spans="1:17">
      <c r="A5" s="125" t="s">
        <v>37</v>
      </c>
      <c r="B5" s="121"/>
      <c r="C5" s="121"/>
      <c r="D5" s="121"/>
      <c r="E5" s="121"/>
      <c r="F5" s="121"/>
      <c r="O5" s="136" t="s">
        <v>255</v>
      </c>
      <c r="P5" s="122">
        <f>P3*P4</f>
        <v>1950000</v>
      </c>
    </row>
    <row r="6" spans="1:17">
      <c r="A6" s="126" t="s">
        <v>7</v>
      </c>
      <c r="B6" s="122">
        <f>analysecout!H10</f>
        <v>300000</v>
      </c>
      <c r="C6" s="121"/>
      <c r="D6" s="121"/>
      <c r="E6" s="121"/>
      <c r="F6" s="121"/>
      <c r="O6" s="136"/>
      <c r="P6" s="122"/>
    </row>
    <row r="7" spans="1:17">
      <c r="A7" s="126" t="s">
        <v>36</v>
      </c>
      <c r="B7" s="122">
        <f>analysecout!H15</f>
        <v>354500</v>
      </c>
      <c r="C7" s="121"/>
      <c r="D7" s="121"/>
      <c r="E7" s="121"/>
      <c r="F7" s="121"/>
      <c r="O7" s="136" t="s">
        <v>244</v>
      </c>
      <c r="P7" s="122">
        <v>135</v>
      </c>
    </row>
    <row r="8" spans="1:17">
      <c r="A8" s="125" t="s">
        <v>154</v>
      </c>
      <c r="B8" s="121"/>
      <c r="C8" s="121"/>
      <c r="D8" s="121"/>
      <c r="E8" s="121"/>
      <c r="F8" s="121"/>
      <c r="O8" s="136"/>
      <c r="P8" s="122"/>
    </row>
    <row r="9" spans="1:17" ht="15">
      <c r="A9" s="126" t="s">
        <v>112</v>
      </c>
      <c r="B9" s="121"/>
      <c r="C9" s="122">
        <f>analysecout!I16</f>
        <v>3200</v>
      </c>
      <c r="D9" s="122">
        <f>analysecout!J16</f>
        <v>3200</v>
      </c>
      <c r="E9" s="122">
        <f>analysecout!K16</f>
        <v>3200</v>
      </c>
      <c r="F9" s="122">
        <f>analysecout!L16</f>
        <v>95200</v>
      </c>
      <c r="G9" s="127"/>
      <c r="O9" s="137" t="s">
        <v>245</v>
      </c>
      <c r="P9" s="122"/>
    </row>
    <row r="10" spans="1:17">
      <c r="A10" s="126" t="s">
        <v>6</v>
      </c>
      <c r="B10" s="121"/>
      <c r="C10" s="122">
        <f>analysecout!I23</f>
        <v>253840</v>
      </c>
      <c r="D10" s="122">
        <f>analysecout!J23</f>
        <v>71840</v>
      </c>
      <c r="E10" s="122">
        <f>analysecout!K23</f>
        <v>20000</v>
      </c>
      <c r="F10" s="122">
        <f>analysecout!L23</f>
        <v>20000</v>
      </c>
      <c r="G10" s="127"/>
      <c r="H10" s="127"/>
      <c r="O10" s="136" t="s">
        <v>253</v>
      </c>
      <c r="P10" s="122">
        <v>300000</v>
      </c>
    </row>
    <row r="11" spans="1:17">
      <c r="A11" s="126" t="s">
        <v>20</v>
      </c>
      <c r="B11" s="121"/>
      <c r="C11" s="122">
        <f>analysecout!I35</f>
        <v>678109</v>
      </c>
      <c r="D11" s="122">
        <f>analysecout!J35</f>
        <v>378891</v>
      </c>
      <c r="E11" s="122">
        <f>analysecout!K35</f>
        <v>243000</v>
      </c>
      <c r="F11" s="122">
        <f>analysecout!L35</f>
        <v>243000</v>
      </c>
      <c r="G11" s="127"/>
      <c r="O11" s="136" t="s">
        <v>254</v>
      </c>
      <c r="P11" s="122">
        <v>354500</v>
      </c>
    </row>
    <row r="12" spans="1:17">
      <c r="A12" s="120" t="s">
        <v>30</v>
      </c>
      <c r="B12" s="122">
        <f>SUM(B5:B11)</f>
        <v>654500</v>
      </c>
      <c r="C12" s="122">
        <f>SUM(C5:C11)</f>
        <v>935149</v>
      </c>
      <c r="D12" s="122">
        <f>SUM(D5:D11)</f>
        <v>453931</v>
      </c>
      <c r="E12" s="122">
        <f>SUM(E5:E11)</f>
        <v>266200</v>
      </c>
      <c r="F12" s="122">
        <f>SUM(F5:F11)</f>
        <v>358200</v>
      </c>
      <c r="G12" s="127"/>
      <c r="O12" s="136" t="s">
        <v>246</v>
      </c>
      <c r="P12" s="122">
        <v>220234</v>
      </c>
    </row>
    <row r="13" spans="1:17">
      <c r="A13" s="123"/>
      <c r="B13" s="124"/>
      <c r="C13" s="124"/>
      <c r="D13" s="124"/>
      <c r="E13" s="124"/>
      <c r="F13" s="124"/>
      <c r="O13" s="136" t="s">
        <v>247</v>
      </c>
      <c r="P13" s="122">
        <v>83434</v>
      </c>
    </row>
    <row r="14" spans="1:17">
      <c r="A14" s="120" t="s">
        <v>31</v>
      </c>
      <c r="B14" s="122">
        <f>B3-B12</f>
        <v>-654500</v>
      </c>
      <c r="C14" s="122">
        <f>C3-C12</f>
        <v>-821149</v>
      </c>
      <c r="D14" s="122">
        <f>D3-D12</f>
        <v>344735.52054794517</v>
      </c>
      <c r="E14" s="122">
        <f>E3-E12</f>
        <v>875233.67452054913</v>
      </c>
      <c r="F14" s="122">
        <f>F3-F12</f>
        <v>1027801.5926356181</v>
      </c>
      <c r="O14" s="136" t="s">
        <v>248</v>
      </c>
      <c r="P14" s="122">
        <v>593661</v>
      </c>
    </row>
    <row r="15" spans="1:17">
      <c r="A15" s="120" t="s">
        <v>114</v>
      </c>
      <c r="B15" s="128">
        <f>IRR(B14:F14)</f>
        <v>0.1669469117209948</v>
      </c>
      <c r="C15" s="124"/>
      <c r="D15" s="124"/>
      <c r="E15" s="124"/>
      <c r="F15" s="124"/>
      <c r="O15" s="136" t="s">
        <v>249</v>
      </c>
      <c r="P15" s="122">
        <v>198447</v>
      </c>
    </row>
    <row r="16" spans="1:17">
      <c r="A16" s="117"/>
      <c r="B16" s="129"/>
      <c r="C16" s="124"/>
      <c r="D16" s="124"/>
      <c r="E16" s="124"/>
      <c r="F16" s="124"/>
      <c r="K16" s="130">
        <v>650000</v>
      </c>
      <c r="O16" s="136" t="s">
        <v>250</v>
      </c>
      <c r="P16" s="122">
        <f>SUM(P10:P15)</f>
        <v>1750276</v>
      </c>
      <c r="Q16" s="127"/>
    </row>
    <row r="17" spans="1:16">
      <c r="A17" s="120" t="s">
        <v>32</v>
      </c>
      <c r="B17" s="121"/>
      <c r="C17" s="122">
        <f>B12/3</f>
        <v>218166.66666666666</v>
      </c>
      <c r="D17" s="122">
        <f>B12/3</f>
        <v>218166.66666666666</v>
      </c>
      <c r="E17" s="122">
        <f>B12/3</f>
        <v>218166.66666666666</v>
      </c>
      <c r="F17" s="121"/>
      <c r="K17" s="130">
        <f>K16/3.5</f>
        <v>185714.28571428571</v>
      </c>
      <c r="O17" s="136"/>
      <c r="P17" s="122"/>
    </row>
    <row r="18" spans="1:16">
      <c r="A18" s="123"/>
      <c r="B18" s="124"/>
      <c r="C18" s="124"/>
      <c r="D18" s="124"/>
      <c r="E18" s="124"/>
      <c r="F18" s="124"/>
      <c r="K18" s="130">
        <f>K17/3</f>
        <v>61904.761904761901</v>
      </c>
      <c r="O18" s="136" t="s">
        <v>257</v>
      </c>
      <c r="P18" s="134">
        <f>P10/P16</f>
        <v>0.17140153895728444</v>
      </c>
    </row>
    <row r="19" spans="1:16">
      <c r="A19" s="120" t="s">
        <v>33</v>
      </c>
      <c r="B19" s="121"/>
      <c r="C19" s="122">
        <f>C14-C17</f>
        <v>-1039315.6666666666</v>
      </c>
      <c r="D19" s="122">
        <f>D14-D17</f>
        <v>126568.85388127851</v>
      </c>
      <c r="E19" s="122">
        <f>E14-E17</f>
        <v>657067.0078538825</v>
      </c>
      <c r="F19" s="122">
        <f>F14-F17</f>
        <v>1027801.5926356181</v>
      </c>
      <c r="O19" s="136" t="s">
        <v>258</v>
      </c>
      <c r="P19" s="134">
        <f>P11/P16</f>
        <v>0.20253948520119114</v>
      </c>
    </row>
    <row r="20" spans="1:16">
      <c r="A20" s="120" t="s">
        <v>34</v>
      </c>
      <c r="B20" s="121"/>
      <c r="C20" s="122"/>
      <c r="D20" s="122">
        <f>C21</f>
        <v>-1039315.6666666666</v>
      </c>
      <c r="E20" s="122">
        <f>D21</f>
        <v>-912746.81278538809</v>
      </c>
      <c r="F20" s="122">
        <f>E21</f>
        <v>-255679.80493150558</v>
      </c>
      <c r="O20" s="136" t="s">
        <v>259</v>
      </c>
      <c r="P20" s="122">
        <f>P16/P7</f>
        <v>12965.007407407407</v>
      </c>
    </row>
    <row r="21" spans="1:16">
      <c r="A21" s="120" t="s">
        <v>40</v>
      </c>
      <c r="B21" s="121"/>
      <c r="C21" s="122">
        <f>C19+C20</f>
        <v>-1039315.6666666666</v>
      </c>
      <c r="D21" s="122">
        <f>D19+D20</f>
        <v>-912746.81278538809</v>
      </c>
      <c r="E21" s="122">
        <f>E19+E20</f>
        <v>-255679.80493150558</v>
      </c>
      <c r="F21" s="122">
        <f>F19+F20</f>
        <v>772121.78770411247</v>
      </c>
      <c r="O21" s="136"/>
      <c r="P21" s="122"/>
    </row>
    <row r="22" spans="1:16">
      <c r="A22" s="120" t="s">
        <v>41</v>
      </c>
      <c r="B22" s="121"/>
      <c r="C22" s="122">
        <f>IF(C21&gt;0,C21*0.34,0)</f>
        <v>0</v>
      </c>
      <c r="D22" s="122">
        <f>IF(D21&gt;0,D21*0.34,0)</f>
        <v>0</v>
      </c>
      <c r="E22" s="122">
        <f>IF(E21&gt;0,E21*0.34,0)</f>
        <v>0</v>
      </c>
      <c r="F22" s="122">
        <f>IF(F21&gt;0,F21*0.34,0)</f>
        <v>262521.40781939827</v>
      </c>
      <c r="O22" s="136" t="s">
        <v>251</v>
      </c>
      <c r="P22" s="135">
        <f>SUM(B12:F12)</f>
        <v>2667980</v>
      </c>
    </row>
    <row r="23" spans="1:16">
      <c r="A23" s="123"/>
      <c r="B23" s="124"/>
      <c r="C23" s="124"/>
      <c r="D23" s="124"/>
      <c r="E23" s="124"/>
      <c r="F23" s="124"/>
      <c r="O23" s="136" t="s">
        <v>252</v>
      </c>
      <c r="P23" s="135">
        <f>P22/0.5</f>
        <v>5335960</v>
      </c>
    </row>
    <row r="24" spans="1:16">
      <c r="A24" s="120" t="s">
        <v>42</v>
      </c>
      <c r="B24" s="122">
        <f>B14</f>
        <v>-654500</v>
      </c>
      <c r="C24" s="122">
        <f>C14-C22</f>
        <v>-821149</v>
      </c>
      <c r="D24" s="122">
        <f>D14-D22</f>
        <v>344735.52054794517</v>
      </c>
      <c r="E24" s="122">
        <f>E14-E22</f>
        <v>875233.67452054913</v>
      </c>
      <c r="F24" s="122">
        <f>F14-F22</f>
        <v>765280.18481621984</v>
      </c>
      <c r="O24" s="136" t="s">
        <v>256</v>
      </c>
      <c r="P24" s="135">
        <f>P23/4</f>
        <v>1333990</v>
      </c>
    </row>
    <row r="25" spans="1:16">
      <c r="A25" s="123"/>
      <c r="B25" s="124"/>
      <c r="C25" s="124"/>
      <c r="D25" s="124"/>
      <c r="E25" s="124"/>
      <c r="F25" s="124"/>
      <c r="O25" s="136" t="s">
        <v>260</v>
      </c>
      <c r="P25" s="134">
        <f>P24/P3</f>
        <v>1.0261461538461539E-2</v>
      </c>
    </row>
    <row r="26" spans="1:16">
      <c r="A26" s="120" t="s">
        <v>113</v>
      </c>
      <c r="B26" s="128">
        <f>IRR(B24:F24)</f>
        <v>0.11891537890748358</v>
      </c>
      <c r="C26" s="124"/>
      <c r="D26" s="124"/>
      <c r="E26" s="124"/>
      <c r="F26" s="124"/>
      <c r="O26" s="136"/>
      <c r="P26" s="136"/>
    </row>
    <row r="27" spans="1:16">
      <c r="A27" s="123"/>
      <c r="B27" s="129"/>
      <c r="C27" s="124"/>
      <c r="D27" s="124"/>
      <c r="E27" s="124"/>
      <c r="F27" s="124"/>
      <c r="O27" s="136"/>
      <c r="P27" s="136"/>
    </row>
    <row r="28" spans="1:16" ht="42.75">
      <c r="A28" s="131" t="s">
        <v>35</v>
      </c>
      <c r="B28" s="122">
        <f>B24</f>
        <v>-654500</v>
      </c>
      <c r="C28" s="122">
        <f>C24+B28</f>
        <v>-1475649</v>
      </c>
      <c r="D28" s="122">
        <f>D24+C28</f>
        <v>-1130913.4794520549</v>
      </c>
      <c r="E28" s="122">
        <f>E24+D28</f>
        <v>-255679.80493150582</v>
      </c>
      <c r="F28" s="122">
        <f>F24+E28</f>
        <v>509600.37988471403</v>
      </c>
      <c r="O28" s="136"/>
      <c r="P28" s="136"/>
    </row>
    <row r="29" spans="1:16">
      <c r="A29" s="138" t="s">
        <v>159</v>
      </c>
      <c r="B29" s="138"/>
      <c r="C29" s="138"/>
      <c r="D29" s="138"/>
      <c r="E29" s="138"/>
      <c r="F29" s="139"/>
      <c r="O29" s="136"/>
      <c r="P29" s="136"/>
    </row>
    <row r="30" spans="1:16">
      <c r="A30" s="132"/>
      <c r="B30" s="133"/>
      <c r="C30" s="133"/>
      <c r="D30" s="133"/>
    </row>
    <row r="33" spans="2:20" ht="15.75">
      <c r="O33" s="98"/>
      <c r="P33"/>
      <c r="Q33"/>
      <c r="R33"/>
      <c r="S33" s="99"/>
      <c r="T33"/>
    </row>
    <row r="34" spans="2:20" ht="15.75">
      <c r="O34" s="98"/>
      <c r="P34"/>
      <c r="Q34"/>
      <c r="R34"/>
      <c r="S34"/>
      <c r="T34" s="99"/>
    </row>
    <row r="35" spans="2:20" ht="15.75">
      <c r="O35" s="98"/>
      <c r="P35"/>
      <c r="Q35"/>
      <c r="R35"/>
      <c r="S35" s="99"/>
      <c r="T35"/>
    </row>
    <row r="36" spans="2:20" ht="15.75">
      <c r="O36" s="98"/>
      <c r="P36"/>
      <c r="Q36"/>
      <c r="R36" s="99"/>
      <c r="S36"/>
      <c r="T36"/>
    </row>
    <row r="37" spans="2:20" ht="15.75">
      <c r="O37" s="98"/>
      <c r="P37"/>
      <c r="Q37" s="99"/>
      <c r="R37"/>
      <c r="S37"/>
      <c r="T37"/>
    </row>
    <row r="38" spans="2:20" ht="15.75">
      <c r="O38" s="98"/>
      <c r="P38"/>
      <c r="Q38" s="99"/>
      <c r="R38"/>
      <c r="S38"/>
      <c r="T38"/>
    </row>
    <row r="41" spans="2:20">
      <c r="B41" s="127"/>
      <c r="C41" s="127"/>
      <c r="D41" s="127"/>
      <c r="E41" s="127"/>
      <c r="F41" s="127"/>
    </row>
    <row r="42" spans="2:20">
      <c r="B42" s="127"/>
      <c r="C42" s="127"/>
      <c r="D42" s="127"/>
      <c r="E42" s="127"/>
      <c r="F42" s="127"/>
    </row>
  </sheetData>
  <mergeCells count="1">
    <mergeCell ref="A29:F29"/>
  </mergeCells>
  <phoneticPr fontId="4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42"/>
  <sheetViews>
    <sheetView workbookViewId="0">
      <selection activeCell="A29" sqref="A1:F29"/>
    </sheetView>
  </sheetViews>
  <sheetFormatPr baseColWidth="10" defaultRowHeight="12.75"/>
  <cols>
    <col min="1" max="1" width="28.85546875" customWidth="1"/>
    <col min="2" max="2" width="6" customWidth="1"/>
    <col min="3" max="3" width="6.7109375" customWidth="1"/>
    <col min="4" max="6" width="7" customWidth="1"/>
  </cols>
  <sheetData>
    <row r="1" spans="1:11">
      <c r="A1" s="34" t="s">
        <v>220</v>
      </c>
      <c r="B1" s="33"/>
      <c r="C1" s="33"/>
      <c r="D1" s="33"/>
      <c r="E1" s="33"/>
      <c r="F1" s="33"/>
    </row>
    <row r="2" spans="1:11">
      <c r="A2" s="34"/>
      <c r="B2" s="41" t="s">
        <v>0</v>
      </c>
      <c r="C2" s="41" t="s">
        <v>235</v>
      </c>
      <c r="D2" s="41" t="s">
        <v>236</v>
      </c>
      <c r="E2" s="41" t="s">
        <v>237</v>
      </c>
      <c r="F2" s="41" t="s">
        <v>238</v>
      </c>
    </row>
    <row r="3" spans="1:11">
      <c r="A3" s="39" t="s">
        <v>29</v>
      </c>
      <c r="B3" s="42"/>
      <c r="C3" s="36">
        <f>gain!B24</f>
        <v>114000</v>
      </c>
      <c r="D3" s="36">
        <f>gain!C24</f>
        <v>798666.52054794517</v>
      </c>
      <c r="E3" s="36">
        <f>gain!D24</f>
        <v>1141433.6745205491</v>
      </c>
      <c r="F3" s="36">
        <f>gain!E24</f>
        <v>1386001.5926356181</v>
      </c>
    </row>
    <row r="4" spans="1:11">
      <c r="A4" s="37"/>
      <c r="B4" s="35"/>
      <c r="C4" s="35"/>
      <c r="D4" s="35"/>
      <c r="E4" s="35"/>
      <c r="F4" s="35"/>
    </row>
    <row r="5" spans="1:11">
      <c r="A5" s="43" t="s">
        <v>221</v>
      </c>
      <c r="B5" s="42"/>
      <c r="C5" s="42"/>
      <c r="D5" s="42"/>
      <c r="E5" s="42"/>
      <c r="F5" s="42"/>
    </row>
    <row r="6" spans="1:11">
      <c r="A6" s="38" t="s">
        <v>222</v>
      </c>
      <c r="B6" s="36">
        <f>analysecout!H10</f>
        <v>300000</v>
      </c>
      <c r="C6" s="42"/>
      <c r="D6" s="42"/>
      <c r="E6" s="42"/>
      <c r="F6" s="42"/>
    </row>
    <row r="7" spans="1:11">
      <c r="A7" s="38" t="s">
        <v>223</v>
      </c>
      <c r="B7" s="36">
        <f>analysecout!H15</f>
        <v>354500</v>
      </c>
      <c r="C7" s="42"/>
      <c r="D7" s="42"/>
      <c r="E7" s="42"/>
      <c r="F7" s="42"/>
    </row>
    <row r="8" spans="1:11">
      <c r="A8" s="43" t="s">
        <v>224</v>
      </c>
      <c r="B8" s="42"/>
      <c r="C8" s="42"/>
      <c r="D8" s="42"/>
      <c r="E8" s="42"/>
      <c r="F8" s="42"/>
    </row>
    <row r="9" spans="1:11">
      <c r="A9" s="38" t="s">
        <v>112</v>
      </c>
      <c r="B9" s="42"/>
      <c r="C9" s="36">
        <f>analysecout!I16</f>
        <v>3200</v>
      </c>
      <c r="D9" s="36">
        <f>analysecout!J16</f>
        <v>3200</v>
      </c>
      <c r="E9" s="36">
        <f>analysecout!K16</f>
        <v>3200</v>
      </c>
      <c r="F9" s="36">
        <f>analysecout!L16</f>
        <v>95200</v>
      </c>
      <c r="G9" s="9"/>
    </row>
    <row r="10" spans="1:11">
      <c r="A10" s="38" t="s">
        <v>225</v>
      </c>
      <c r="B10" s="42"/>
      <c r="C10" s="36">
        <f>analysecout!I23</f>
        <v>253840</v>
      </c>
      <c r="D10" s="36">
        <f>analysecout!J23</f>
        <v>71840</v>
      </c>
      <c r="E10" s="36">
        <f>analysecout!K23</f>
        <v>20000</v>
      </c>
      <c r="F10" s="36">
        <f>analysecout!L23</f>
        <v>20000</v>
      </c>
      <c r="G10" s="9"/>
      <c r="H10" s="9"/>
    </row>
    <row r="11" spans="1:11">
      <c r="A11" s="38" t="s">
        <v>226</v>
      </c>
      <c r="B11" s="42"/>
      <c r="C11" s="36">
        <f>analysecout!I35</f>
        <v>678109</v>
      </c>
      <c r="D11" s="36">
        <f>analysecout!J35</f>
        <v>378891</v>
      </c>
      <c r="E11" s="36">
        <f>analysecout!K35</f>
        <v>243000</v>
      </c>
      <c r="F11" s="36">
        <f>analysecout!L35</f>
        <v>243000</v>
      </c>
      <c r="G11" s="9"/>
    </row>
    <row r="12" spans="1:11">
      <c r="A12" s="39" t="s">
        <v>227</v>
      </c>
      <c r="B12" s="36">
        <f>SUM(B5:B11)</f>
        <v>654500</v>
      </c>
      <c r="C12" s="36">
        <f>SUM(C5:C11)</f>
        <v>935149</v>
      </c>
      <c r="D12" s="36">
        <f>SUM(D5:D11)</f>
        <v>453931</v>
      </c>
      <c r="E12" s="36">
        <f>SUM(E5:E11)</f>
        <v>266200</v>
      </c>
      <c r="F12" s="36">
        <f>SUM(F5:F11)</f>
        <v>358200</v>
      </c>
      <c r="G12" s="9"/>
    </row>
    <row r="13" spans="1:11">
      <c r="A13" s="37"/>
      <c r="B13" s="35"/>
      <c r="C13" s="35"/>
      <c r="D13" s="35"/>
      <c r="E13" s="35"/>
      <c r="F13" s="35"/>
    </row>
    <row r="14" spans="1:11">
      <c r="A14" s="39" t="s">
        <v>31</v>
      </c>
      <c r="B14" s="36">
        <f>B3-B12</f>
        <v>-654500</v>
      </c>
      <c r="C14" s="36">
        <f>C3-C12</f>
        <v>-821149</v>
      </c>
      <c r="D14" s="36">
        <f>D3-D12</f>
        <v>344735.52054794517</v>
      </c>
      <c r="E14" s="36">
        <f>E3-E12</f>
        <v>875233.67452054913</v>
      </c>
      <c r="F14" s="36">
        <f>F3-F12</f>
        <v>1027801.5926356181</v>
      </c>
    </row>
    <row r="15" spans="1:11">
      <c r="A15" s="39" t="s">
        <v>228</v>
      </c>
      <c r="B15" s="45">
        <f>IRR(B14:F14)</f>
        <v>0.1669469117209948</v>
      </c>
      <c r="C15" s="35"/>
      <c r="D15" s="35"/>
      <c r="E15" s="35"/>
      <c r="F15" s="35"/>
    </row>
    <row r="16" spans="1:11">
      <c r="A16" s="33"/>
      <c r="B16" s="44"/>
      <c r="C16" s="35"/>
      <c r="D16" s="35"/>
      <c r="E16" s="35"/>
      <c r="F16" s="35"/>
      <c r="K16" s="4">
        <v>650000</v>
      </c>
    </row>
    <row r="17" spans="1:11">
      <c r="A17" s="39" t="s">
        <v>229</v>
      </c>
      <c r="B17" s="42"/>
      <c r="C17" s="36">
        <f>B12/3</f>
        <v>218166.66666666666</v>
      </c>
      <c r="D17" s="36">
        <f>B12/3</f>
        <v>218166.66666666666</v>
      </c>
      <c r="E17" s="36">
        <f>B12/3</f>
        <v>218166.66666666666</v>
      </c>
      <c r="F17" s="42"/>
      <c r="K17" s="4">
        <f>K16/3.5</f>
        <v>185714.28571428571</v>
      </c>
    </row>
    <row r="18" spans="1:11">
      <c r="A18" s="37"/>
      <c r="B18" s="35"/>
      <c r="C18" s="35"/>
      <c r="D18" s="35"/>
      <c r="E18" s="35"/>
      <c r="F18" s="35"/>
      <c r="K18" s="4">
        <f>K17/3</f>
        <v>61904.761904761901</v>
      </c>
    </row>
    <row r="19" spans="1:11">
      <c r="A19" s="39" t="s">
        <v>233</v>
      </c>
      <c r="B19" s="42"/>
      <c r="C19" s="36">
        <f>C14-C17</f>
        <v>-1039315.6666666666</v>
      </c>
      <c r="D19" s="36">
        <f>D14-D17</f>
        <v>126568.85388127851</v>
      </c>
      <c r="E19" s="36">
        <f>E14-E17</f>
        <v>657067.0078538825</v>
      </c>
      <c r="F19" s="36">
        <f>F14-F17</f>
        <v>1027801.5926356181</v>
      </c>
    </row>
    <row r="20" spans="1:11">
      <c r="A20" s="39" t="s">
        <v>234</v>
      </c>
      <c r="B20" s="42"/>
      <c r="C20" s="36"/>
      <c r="D20" s="36">
        <f>C21</f>
        <v>-1039315.6666666666</v>
      </c>
      <c r="E20" s="36">
        <f>D21</f>
        <v>-912746.81278538809</v>
      </c>
      <c r="F20" s="36">
        <f>E21</f>
        <v>-255679.80493150558</v>
      </c>
    </row>
    <row r="21" spans="1:11">
      <c r="A21" s="39" t="s">
        <v>239</v>
      </c>
      <c r="B21" s="42"/>
      <c r="C21" s="36">
        <f>C19+C20</f>
        <v>-1039315.6666666666</v>
      </c>
      <c r="D21" s="36">
        <f>D19+D20</f>
        <v>-912746.81278538809</v>
      </c>
      <c r="E21" s="36">
        <f>E19+E20</f>
        <v>-255679.80493150558</v>
      </c>
      <c r="F21" s="36">
        <f>F19+F20</f>
        <v>772121.78770411247</v>
      </c>
    </row>
    <row r="22" spans="1:11">
      <c r="A22" s="39" t="s">
        <v>232</v>
      </c>
      <c r="B22" s="42"/>
      <c r="C22" s="36">
        <f>IF(C21&gt;0,C21*0.34,0)</f>
        <v>0</v>
      </c>
      <c r="D22" s="36">
        <f>IF(D21&gt;0,D21*0.34,0)</f>
        <v>0</v>
      </c>
      <c r="E22" s="36">
        <f>IF(E21&gt;0,E21*0.34,0)</f>
        <v>0</v>
      </c>
      <c r="F22" s="36">
        <f>IF(F21&gt;0,F21*0.34,0)</f>
        <v>262521.40781939827</v>
      </c>
    </row>
    <row r="23" spans="1:11">
      <c r="A23" s="37"/>
      <c r="B23" s="35"/>
      <c r="C23" s="35"/>
      <c r="D23" s="35"/>
      <c r="E23" s="35"/>
      <c r="F23" s="35"/>
    </row>
    <row r="24" spans="1:11">
      <c r="A24" s="39" t="s">
        <v>231</v>
      </c>
      <c r="B24" s="36">
        <f>B14</f>
        <v>-654500</v>
      </c>
      <c r="C24" s="36">
        <f>C14-C22</f>
        <v>-821149</v>
      </c>
      <c r="D24" s="36">
        <f>D14-D22</f>
        <v>344735.52054794517</v>
      </c>
      <c r="E24" s="36">
        <f>E14-E22</f>
        <v>875233.67452054913</v>
      </c>
      <c r="F24" s="36">
        <f>F14-F22</f>
        <v>765280.18481621984</v>
      </c>
    </row>
    <row r="25" spans="1:11">
      <c r="A25" s="37"/>
      <c r="B25" s="35"/>
      <c r="C25" s="35"/>
      <c r="D25" s="35"/>
      <c r="E25" s="35"/>
      <c r="F25" s="35"/>
    </row>
    <row r="26" spans="1:11">
      <c r="A26" s="39" t="s">
        <v>230</v>
      </c>
      <c r="B26" s="45">
        <f>IRR(B24:F24)</f>
        <v>0.11891537890748358</v>
      </c>
      <c r="C26" s="35"/>
      <c r="D26" s="35"/>
      <c r="E26" s="35"/>
      <c r="F26" s="35"/>
    </row>
    <row r="27" spans="1:11">
      <c r="A27" s="37"/>
      <c r="B27" s="44"/>
      <c r="C27" s="35"/>
      <c r="D27" s="35"/>
      <c r="E27" s="35"/>
      <c r="F27" s="35"/>
    </row>
    <row r="28" spans="1:11" ht="18.75">
      <c r="A28" s="40" t="s">
        <v>240</v>
      </c>
      <c r="B28" s="36">
        <f>B24</f>
        <v>-654500</v>
      </c>
      <c r="C28" s="36">
        <f>C24+B28</f>
        <v>-1475649</v>
      </c>
      <c r="D28" s="36">
        <f>D24+C28</f>
        <v>-1130913.4794520549</v>
      </c>
      <c r="E28" s="36">
        <f>E24+D28</f>
        <v>-255679.80493150582</v>
      </c>
      <c r="F28" s="36">
        <f>F24+E28</f>
        <v>509600.37988471403</v>
      </c>
    </row>
    <row r="29" spans="1:11">
      <c r="A29" s="140" t="s">
        <v>241</v>
      </c>
      <c r="B29" s="140"/>
      <c r="C29" s="140"/>
      <c r="D29" s="140"/>
      <c r="E29" s="140"/>
      <c r="F29" s="141"/>
    </row>
    <row r="30" spans="1:11">
      <c r="A30" s="1"/>
      <c r="B30" s="8"/>
      <c r="C30" s="8"/>
      <c r="D30" s="8"/>
    </row>
    <row r="41" spans="2:6">
      <c r="B41" s="9"/>
      <c r="C41" s="9"/>
      <c r="D41" s="9"/>
      <c r="E41" s="9"/>
      <c r="F41" s="9"/>
    </row>
    <row r="42" spans="2:6">
      <c r="B42" s="9"/>
      <c r="C42" s="9"/>
      <c r="D42" s="9"/>
      <c r="E42" s="9"/>
      <c r="F42" s="9"/>
    </row>
  </sheetData>
  <mergeCells count="1">
    <mergeCell ref="A29:F29"/>
  </mergeCells>
  <phoneticPr fontId="4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2"/>
  <sheetViews>
    <sheetView workbookViewId="0">
      <selection sqref="A1:F30"/>
    </sheetView>
  </sheetViews>
  <sheetFormatPr baseColWidth="10" defaultRowHeight="12.75"/>
  <cols>
    <col min="1" max="1" width="33.28515625" customWidth="1"/>
  </cols>
  <sheetData>
    <row r="1" spans="1:6">
      <c r="A1" s="3" t="s">
        <v>28</v>
      </c>
      <c r="B1" s="1"/>
      <c r="C1" s="1"/>
      <c r="D1" s="1"/>
      <c r="E1" s="1"/>
      <c r="F1" s="1"/>
    </row>
    <row r="2" spans="1:6">
      <c r="A2" s="3"/>
      <c r="B2" s="10" t="s">
        <v>0</v>
      </c>
      <c r="C2" s="10" t="s">
        <v>3</v>
      </c>
      <c r="D2" s="10" t="s">
        <v>4</v>
      </c>
      <c r="E2" s="10" t="s">
        <v>5</v>
      </c>
      <c r="F2" s="10" t="s">
        <v>16</v>
      </c>
    </row>
    <row r="3" spans="1:6">
      <c r="A3" s="13" t="s">
        <v>29</v>
      </c>
      <c r="B3" s="14"/>
      <c r="C3" s="4"/>
      <c r="D3" s="4"/>
      <c r="E3" s="4"/>
      <c r="F3" s="4"/>
    </row>
    <row r="4" spans="1:6">
      <c r="A4" s="5"/>
      <c r="B4" s="8"/>
      <c r="C4" s="8"/>
      <c r="D4" s="8"/>
      <c r="E4" s="8"/>
      <c r="F4" s="8"/>
    </row>
    <row r="5" spans="1:6">
      <c r="A5" s="11" t="s">
        <v>37</v>
      </c>
      <c r="B5" s="14"/>
      <c r="C5" s="14"/>
      <c r="D5" s="14"/>
      <c r="E5" s="14"/>
      <c r="F5" s="14"/>
    </row>
    <row r="6" spans="1:6">
      <c r="A6" s="12" t="s">
        <v>7</v>
      </c>
      <c r="B6" s="4"/>
      <c r="C6" s="14"/>
      <c r="D6" s="14"/>
      <c r="E6" s="14"/>
      <c r="F6" s="14"/>
    </row>
    <row r="7" spans="1:6">
      <c r="A7" s="12" t="s">
        <v>36</v>
      </c>
      <c r="B7" s="4"/>
      <c r="C7" s="14"/>
      <c r="D7" s="14"/>
      <c r="E7" s="14"/>
      <c r="F7" s="14"/>
    </row>
    <row r="8" spans="1:6">
      <c r="A8" s="11" t="s">
        <v>155</v>
      </c>
      <c r="B8" s="14"/>
      <c r="C8" s="14"/>
      <c r="D8" s="14"/>
      <c r="E8" s="14"/>
      <c r="F8" s="14"/>
    </row>
    <row r="9" spans="1:6">
      <c r="A9" s="12" t="s">
        <v>112</v>
      </c>
      <c r="B9" s="14"/>
      <c r="C9" s="4"/>
      <c r="D9" s="4"/>
      <c r="E9" s="4"/>
      <c r="F9" s="4"/>
    </row>
    <row r="10" spans="1:6">
      <c r="A10" s="12" t="s">
        <v>6</v>
      </c>
      <c r="B10" s="14"/>
      <c r="C10" s="4"/>
      <c r="D10" s="4"/>
      <c r="E10" s="4"/>
      <c r="F10" s="4"/>
    </row>
    <row r="11" spans="1:6">
      <c r="A11" s="12" t="s">
        <v>20</v>
      </c>
      <c r="B11" s="14"/>
      <c r="C11" s="4"/>
      <c r="D11" s="4"/>
      <c r="E11" s="4"/>
      <c r="F11" s="4"/>
    </row>
    <row r="12" spans="1:6">
      <c r="A12" s="13" t="s">
        <v>30</v>
      </c>
      <c r="B12" s="4"/>
      <c r="C12" s="4"/>
      <c r="D12" s="4"/>
      <c r="E12" s="4"/>
      <c r="F12" s="4"/>
    </row>
    <row r="13" spans="1:6">
      <c r="A13" s="5"/>
      <c r="B13" s="8"/>
      <c r="C13" s="8"/>
      <c r="D13" s="8"/>
      <c r="E13" s="8"/>
      <c r="F13" s="8"/>
    </row>
    <row r="14" spans="1:6">
      <c r="A14" s="13" t="s">
        <v>31</v>
      </c>
      <c r="B14" s="4"/>
      <c r="C14" s="4"/>
      <c r="D14" s="4"/>
      <c r="E14" s="4"/>
      <c r="F14" s="4"/>
    </row>
    <row r="15" spans="1:6">
      <c r="A15" s="13" t="s">
        <v>114</v>
      </c>
      <c r="B15" s="17"/>
      <c r="C15" s="8"/>
      <c r="D15" s="8"/>
      <c r="E15" s="8"/>
      <c r="F15" s="8"/>
    </row>
    <row r="16" spans="1:6">
      <c r="A16" s="1"/>
      <c r="B16" s="15"/>
      <c r="C16" s="8"/>
      <c r="D16" s="8"/>
      <c r="E16" s="8"/>
      <c r="F16" s="8"/>
    </row>
    <row r="17" spans="1:6">
      <c r="A17" s="13" t="s">
        <v>32</v>
      </c>
      <c r="B17" s="14"/>
      <c r="C17" s="4"/>
      <c r="D17" s="4"/>
      <c r="E17" s="4"/>
      <c r="F17" s="14"/>
    </row>
    <row r="18" spans="1:6">
      <c r="A18" s="5"/>
      <c r="B18" s="8"/>
      <c r="C18" s="8"/>
      <c r="D18" s="8"/>
      <c r="E18" s="8"/>
      <c r="F18" s="8"/>
    </row>
    <row r="19" spans="1:6">
      <c r="A19" s="13" t="s">
        <v>33</v>
      </c>
      <c r="B19" s="14"/>
      <c r="C19" s="4"/>
      <c r="D19" s="4"/>
      <c r="E19" s="4"/>
      <c r="F19" s="4"/>
    </row>
    <row r="20" spans="1:6">
      <c r="A20" s="13" t="s">
        <v>34</v>
      </c>
      <c r="B20" s="14"/>
      <c r="C20" s="4"/>
      <c r="D20" s="4"/>
      <c r="E20" s="4"/>
      <c r="F20" s="4"/>
    </row>
    <row r="21" spans="1:6">
      <c r="A21" s="13" t="s">
        <v>40</v>
      </c>
      <c r="B21" s="14"/>
      <c r="C21" s="4"/>
      <c r="D21" s="4"/>
      <c r="E21" s="4"/>
      <c r="F21" s="4"/>
    </row>
    <row r="22" spans="1:6">
      <c r="A22" s="13" t="s">
        <v>41</v>
      </c>
      <c r="B22" s="14"/>
      <c r="C22" s="4"/>
      <c r="D22" s="4"/>
      <c r="E22" s="4"/>
      <c r="F22" s="4"/>
    </row>
    <row r="23" spans="1:6">
      <c r="A23" s="5"/>
      <c r="B23" s="8"/>
      <c r="C23" s="8"/>
      <c r="D23" s="8"/>
      <c r="E23" s="8"/>
      <c r="F23" s="8"/>
    </row>
    <row r="24" spans="1:6">
      <c r="A24" s="13" t="s">
        <v>42</v>
      </c>
      <c r="B24" s="4"/>
      <c r="C24" s="4"/>
      <c r="D24" s="4"/>
      <c r="E24" s="4"/>
      <c r="F24" s="4"/>
    </row>
    <row r="25" spans="1:6">
      <c r="A25" s="5"/>
      <c r="B25" s="8"/>
      <c r="C25" s="8"/>
      <c r="D25" s="8"/>
      <c r="E25" s="8"/>
      <c r="F25" s="8"/>
    </row>
    <row r="26" spans="1:6">
      <c r="A26" s="13" t="s">
        <v>113</v>
      </c>
      <c r="B26" s="17"/>
      <c r="C26" s="8"/>
      <c r="D26" s="8"/>
      <c r="E26" s="8"/>
      <c r="F26" s="8"/>
    </row>
    <row r="27" spans="1:6">
      <c r="A27" s="5"/>
      <c r="B27" s="15"/>
      <c r="C27" s="8"/>
      <c r="D27" s="8"/>
      <c r="E27" s="8"/>
      <c r="F27" s="8"/>
    </row>
    <row r="28" spans="1:6" ht="32.25">
      <c r="A28" s="16" t="s">
        <v>35</v>
      </c>
      <c r="B28" s="4">
        <f>B24</f>
        <v>0</v>
      </c>
      <c r="C28" s="4">
        <f>C24+B28</f>
        <v>0</v>
      </c>
      <c r="D28" s="4">
        <f>D24+C28</f>
        <v>0</v>
      </c>
      <c r="E28" s="4">
        <f>E24+D28</f>
        <v>0</v>
      </c>
      <c r="F28" s="4">
        <f>F24+E28</f>
        <v>0</v>
      </c>
    </row>
    <row r="29" spans="1:6">
      <c r="A29" s="1"/>
      <c r="B29" s="8"/>
      <c r="C29" s="8"/>
      <c r="D29" s="8"/>
    </row>
    <row r="30" spans="1:6">
      <c r="A30" s="5" t="s">
        <v>110</v>
      </c>
      <c r="B30" s="4"/>
      <c r="C30" s="18" t="s">
        <v>111</v>
      </c>
      <c r="D30" s="8"/>
    </row>
    <row r="31" spans="1:6">
      <c r="A31" s="1"/>
      <c r="B31" s="8"/>
      <c r="C31" s="8"/>
      <c r="D31" s="8"/>
      <c r="E31" s="8"/>
      <c r="F31" s="8"/>
    </row>
    <row r="32" spans="1:6">
      <c r="A32" s="1"/>
      <c r="B32" s="8"/>
      <c r="C32" s="8"/>
      <c r="D32" s="8"/>
      <c r="E32" s="8"/>
      <c r="F32" s="8"/>
    </row>
    <row r="33" spans="2:6">
      <c r="B33" s="9"/>
      <c r="C33" s="9"/>
      <c r="D33" s="9"/>
      <c r="E33" s="9"/>
      <c r="F33" s="9"/>
    </row>
    <row r="34" spans="2:6">
      <c r="B34" s="9"/>
      <c r="C34" s="9"/>
      <c r="D34" s="9"/>
      <c r="E34" s="9"/>
      <c r="F34" s="9"/>
    </row>
    <row r="35" spans="2:6">
      <c r="B35" s="9"/>
      <c r="C35" s="9"/>
      <c r="D35" s="9"/>
      <c r="E35" s="9"/>
      <c r="F35" s="9"/>
    </row>
    <row r="36" spans="2:6">
      <c r="B36" s="9"/>
      <c r="C36" s="9"/>
      <c r="D36" s="9"/>
      <c r="E36" s="9"/>
      <c r="F36" s="9"/>
    </row>
    <row r="37" spans="2:6">
      <c r="B37" s="9"/>
      <c r="C37" s="9"/>
      <c r="D37" s="9"/>
      <c r="E37" s="9"/>
      <c r="F37" s="9"/>
    </row>
    <row r="38" spans="2:6">
      <c r="B38" s="9"/>
      <c r="C38" s="9"/>
      <c r="D38" s="9"/>
      <c r="E38" s="9"/>
      <c r="F38" s="9"/>
    </row>
    <row r="39" spans="2:6">
      <c r="B39" s="9"/>
      <c r="C39" s="9"/>
      <c r="D39" s="9"/>
      <c r="E39" s="9"/>
      <c r="F39" s="9"/>
    </row>
    <row r="40" spans="2:6">
      <c r="B40" s="9"/>
      <c r="C40" s="9"/>
      <c r="D40" s="9"/>
      <c r="E40" s="9"/>
      <c r="F40" s="9"/>
    </row>
    <row r="41" spans="2:6">
      <c r="B41" s="9"/>
      <c r="C41" s="9"/>
      <c r="D41" s="9"/>
      <c r="E41" s="9"/>
      <c r="F41" s="9"/>
    </row>
    <row r="42" spans="2:6">
      <c r="B42" s="9"/>
      <c r="C42" s="9"/>
      <c r="D42" s="9"/>
      <c r="E42" s="9"/>
      <c r="F42" s="9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2</vt:i4>
      </vt:variant>
    </vt:vector>
  </HeadingPairs>
  <TitlesOfParts>
    <vt:vector size="10" baseType="lpstr">
      <vt:lpstr>Ressources</vt:lpstr>
      <vt:lpstr>Planif</vt:lpstr>
      <vt:lpstr>analysecout</vt:lpstr>
      <vt:lpstr>analysecouta completer</vt:lpstr>
      <vt:lpstr>gain</vt:lpstr>
      <vt:lpstr>tir4</vt:lpstr>
      <vt:lpstr>tir4Eng</vt:lpstr>
      <vt:lpstr>tir4 A compl</vt:lpstr>
      <vt:lpstr>CEX</vt:lpstr>
      <vt:lpstr>CIN</vt:lpstr>
    </vt:vector>
  </TitlesOfParts>
  <Company>Ecole Centrale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</dc:creator>
  <cp:lastModifiedBy>Utilisateur</cp:lastModifiedBy>
  <cp:lastPrinted>2011-02-27T11:12:50Z</cp:lastPrinted>
  <dcterms:created xsi:type="dcterms:W3CDTF">2008-02-08T11:17:56Z</dcterms:created>
  <dcterms:modified xsi:type="dcterms:W3CDTF">2022-09-19T09:13:48Z</dcterms:modified>
</cp:coreProperties>
</file>